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735" windowHeight="14505" activeTab="4"/>
  </bookViews>
  <sheets>
    <sheet name="Table 1- Criteria" sheetId="1" r:id="rId1"/>
    <sheet name="Table 2 - Staff Costing Profile" sheetId="2" r:id="rId2"/>
    <sheet name="Table 3 - Average Hourly Rates " sheetId="3" r:id="rId3"/>
    <sheet name="Tables 4, 5, 6, 7 - Systems" sheetId="4" r:id="rId4"/>
    <sheet name="Table 8 - Annotations" sheetId="5" r:id="rId5"/>
  </sheets>
  <definedNames>
    <definedName name="adj_work_hours">'Tables 4, 5, 6, 7 - Systems'!$B$8</definedName>
    <definedName name="Admin_costs">'Table 1- Criteria'!$B$29</definedName>
    <definedName name="AJ_Levy">'Table 2 - Staff Costing Profile'!$Q$54</definedName>
    <definedName name="AUFA_work_hours">'Tables 4, 5, 6, 7 - Systems'!$B$8</definedName>
    <definedName name="Bargaining_unit_1_benefit">'Table 1- Criteria'!$B$11</definedName>
    <definedName name="bargaining_unit_2_benefit">'Table 1- Criteria'!$B$12</definedName>
    <definedName name="Benefit">'Table 2 - Staff Costing Profile'!#REF!</definedName>
    <definedName name="CIM_avg_rate">'Tables 4, 5, 6, 7 - Systems'!$B$9</definedName>
    <definedName name="CIM_rate">'Tables 4, 5, 6, 7 - Systems'!$A$9</definedName>
    <definedName name="CIO_Levy">'Table 1- Criteria'!$B$25</definedName>
    <definedName name="Coordinator_Help_Desk_PC_Levy">'Table 2 - Staff Costing Profile'!$Q$25</definedName>
    <definedName name="cost_per_sf_1" comment="Cost per square foot at location 1">'Table 1- Criteria'!$B$15</definedName>
    <definedName name="cost_per_sf_2" comment="Cost per square foot at location 2">'Table 1- Criteria'!$B$18</definedName>
    <definedName name="Daryl_Levy">'Table 2 - Staff Costing Profile'!$Q$78</definedName>
    <definedName name="Daryl2_Levy">'Table 2 - Staff Costing Profile'!$Q$69</definedName>
    <definedName name="equipment_cost_per_person">'Table 1- Criteria'!$B$22</definedName>
    <definedName name="Evan_Levy">'Table 2 - Staff Costing Profile'!$Q$40</definedName>
    <definedName name="Finance_avg_rate">'Tables 4, 5, 6, 7 - Systems'!$B$10</definedName>
    <definedName name="Gary_Levy">'Table 2 - Staff Costing Profile'!$Q$13</definedName>
    <definedName name="Greg_Levy">'Table 2 - Staff Costing Profile'!$Q$46</definedName>
    <definedName name="institutional_overhead" comment="An assessment of ocverhead costs at your instituation, for example a portion of Finance and HR budgets.">'Table 1- Criteria'!$B$26</definedName>
    <definedName name="Ken_Levy">'Table 2 - Staff Costing Profile'!$Q$62</definedName>
    <definedName name="loc_1_sf" comment="Square footage at location 1">'Table 1- Criteria'!$B$16</definedName>
    <definedName name="loc_1_staff" comment="Number of staff at location 1">'Table 1- Criteria'!$B$17</definedName>
    <definedName name="loc_2_sf" comment="Square footage at location 2">'Table 1- Criteria'!$B$19</definedName>
    <definedName name="loc_2_staff" comment="Number of staff at location 2">'Table 1- Criteria'!$B$20</definedName>
    <definedName name="Manager_assess">'Table 1- Criteria'!$B$28</definedName>
    <definedName name="_xlnm.Print_Area" localSheetId="0">'Table 1- Criteria'!$A$1:$I$31</definedName>
    <definedName name="_xlnm.Print_Area" localSheetId="1">'Table 2 - Staff Costing Profile'!$A$1:$T$87</definedName>
    <definedName name="_xlnm.Print_Area" localSheetId="2">'Table 3 - Average Hourly Rates '!$A$1:$C$40</definedName>
    <definedName name="_xlnm.Print_Area" localSheetId="4">'Table 8 - Annotations'!$A$1:$N$26</definedName>
    <definedName name="_xlnm.Print_Area" localSheetId="3">'Tables 4, 5, 6, 7 - Systems'!$A$1:$K$97</definedName>
    <definedName name="_xlnm.Print_Titles" localSheetId="1">'Table 2 - Staff Costing Profile'!$1:$7</definedName>
    <definedName name="_xlnm.Print_Titles" localSheetId="2">'Table 3 - Average Hourly Rates '!$1:$3</definedName>
    <definedName name="_xlnm.Print_Titles" localSheetId="4">'Table 8 - Annotations'!$1:$7</definedName>
    <definedName name="_xlnm.Print_Titles" localSheetId="3">'Tables 4, 5, 6, 7 - Systems'!$1:$2</definedName>
    <definedName name="supervisor_assess">'Table 1- Criteria'!$B$27</definedName>
    <definedName name="total_staff">'Table 1- Criteria'!$B$21</definedName>
    <definedName name="Work_hours">'Tables 4, 5, 6, 7 - Systems'!$B$8</definedName>
    <definedName name="Working_hours_per_day">'Table 1- Criteria'!$B$9</definedName>
    <definedName name="working_hours_per_year" comment="Working hours per year, exclusive of stat holidays, but vacation hours still in">'Table 1- Criteria'!$B$10</definedName>
  </definedNames>
  <calcPr fullCalcOnLoad="1"/>
  <pivotCaches>
    <pivotCache cacheId="2" r:id="rId6"/>
    <pivotCache cacheId="1" r:id="rId7"/>
  </pivotCaches>
</workbook>
</file>

<file path=xl/comments4.xml><?xml version="1.0" encoding="utf-8"?>
<comments xmlns="http://schemas.openxmlformats.org/spreadsheetml/2006/main">
  <authors>
    <author>AU</author>
    <author>Dawn Lewis</author>
    <author>Dave Hrenewich</author>
  </authors>
  <commentList>
    <comment ref="C56" authorId="0">
      <text>
        <r>
          <rPr>
            <b/>
            <sz val="8"/>
            <rFont val="Tahoma"/>
            <family val="0"/>
          </rPr>
          <t>Banner Applications External:</t>
        </r>
        <r>
          <rPr>
            <sz val="8"/>
            <rFont val="Tahoma"/>
            <family val="0"/>
          </rPr>
          <t xml:space="preserve">
SCT Banner - 47,364
Oracle iDeveloper - under DB 
Quest TOAD (Fin plus PRO) 5,278
Oracle IAS - 24,820
Cdn Postal Code 285</t>
        </r>
      </text>
    </comment>
    <comment ref="C34" authorId="0">
      <text>
        <r>
          <rPr>
            <b/>
            <sz val="8"/>
            <rFont val="Tahoma"/>
            <family val="0"/>
          </rPr>
          <t>Oracle DB External:</t>
        </r>
        <r>
          <rPr>
            <sz val="8"/>
            <rFont val="Tahoma"/>
            <family val="0"/>
          </rPr>
          <t xml:space="preserve">
Tuning Packs $3,838
Internet Developer (9) $12,043
Internet Developer (2) $1,830
Oracle CWL $101,008</t>
        </r>
      </text>
    </comment>
    <comment ref="D34" authorId="0">
      <text>
        <r>
          <rPr>
            <b/>
            <sz val="8"/>
            <rFont val="Tahoma"/>
            <family val="0"/>
          </rPr>
          <t>Mandatory Oracle DB:</t>
        </r>
        <r>
          <rPr>
            <sz val="8"/>
            <rFont val="Tahoma"/>
            <family val="0"/>
          </rPr>
          <t xml:space="preserve">
0.05 Mark
0.1 Nazrat
0.025 Tamara
0.3 Ken
0.1 Tony
0.1 Don
0.05 systems</t>
        </r>
      </text>
    </comment>
    <comment ref="D20" authorId="0">
      <text>
        <r>
          <rPr>
            <b/>
            <sz val="8"/>
            <rFont val="Tahoma"/>
            <family val="0"/>
          </rPr>
          <t>Networks Mandatory:</t>
        </r>
        <r>
          <rPr>
            <sz val="8"/>
            <rFont val="Tahoma"/>
            <family val="0"/>
          </rPr>
          <t xml:space="preserve">
0.1 Walter
0.05 Jonathan
0.6 Les
0.6 Curt
0.1 Karen
0.1 Darlene
0.05 Evan
</t>
        </r>
      </text>
    </comment>
    <comment ref="H20" authorId="0">
      <text>
        <r>
          <rPr>
            <b/>
            <sz val="8"/>
            <rFont val="Tahoma"/>
            <family val="0"/>
          </rPr>
          <t>Networks Discretionary:</t>
        </r>
        <r>
          <rPr>
            <sz val="8"/>
            <rFont val="Tahoma"/>
            <family val="0"/>
          </rPr>
          <t xml:space="preserve">
0.1 Walter
0.1 Ross (VPN, DHCP, Wireless)
0.05 Troy (VPN, DHCP, Wireless)
0.3 Les
0.3 Curt
0.4 Evan</t>
        </r>
      </text>
    </comment>
    <comment ref="D22" authorId="0">
      <text>
        <r>
          <rPr>
            <b/>
            <sz val="8"/>
            <rFont val="Tahoma"/>
            <family val="0"/>
          </rPr>
          <t>Server Infrastructure Mandatory:</t>
        </r>
        <r>
          <rPr>
            <sz val="8"/>
            <rFont val="Tahoma"/>
            <family val="0"/>
          </rPr>
          <t xml:space="preserve">
0.5 Greg
0.05 Walterk
0.3 Kathy (accounts, backups, etc.)
0.35 Troy
0.25 Richard
0.6 Quint
0.1 Jonathan
0.4 Ross - security
0.05 Troy - security</t>
        </r>
      </text>
    </comment>
    <comment ref="H22" authorId="0">
      <text>
        <r>
          <rPr>
            <b/>
            <sz val="8"/>
            <rFont val="Tahoma"/>
            <family val="0"/>
          </rPr>
          <t>Server Infrastructure Discretionary:</t>
        </r>
        <r>
          <rPr>
            <sz val="8"/>
            <rFont val="Tahoma"/>
            <family val="0"/>
          </rPr>
          <t xml:space="preserve">
0.5 Greg
0.1 Kathy
0.5 Troy
0.15 Richard
0.35 Quint
0.5 Ross - security
0.1 Troy - security
</t>
        </r>
      </text>
    </comment>
    <comment ref="D85" authorId="0">
      <text>
        <r>
          <rPr>
            <b/>
            <sz val="8"/>
            <rFont val="Tahoma"/>
            <family val="0"/>
          </rPr>
          <t>PC Mandatory:</t>
        </r>
        <r>
          <rPr>
            <sz val="8"/>
            <rFont val="Tahoma"/>
            <family val="0"/>
          </rPr>
          <t xml:space="preserve">
0.5 Walter (PC's and printers)
0.05 Kathy
2.6 PCU
0.5 Kelcey</t>
        </r>
      </text>
    </comment>
    <comment ref="I85" authorId="0">
      <text>
        <r>
          <rPr>
            <b/>
            <sz val="8"/>
            <rFont val="Tahoma"/>
            <family val="0"/>
          </rPr>
          <t>PC Discretionary:</t>
        </r>
        <r>
          <rPr>
            <sz val="8"/>
            <rFont val="Tahoma"/>
            <family val="0"/>
          </rPr>
          <t xml:space="preserve">
0.2 Walter
1 PCU</t>
        </r>
      </text>
    </comment>
    <comment ref="D72" authorId="0">
      <text>
        <r>
          <rPr>
            <b/>
            <sz val="8"/>
            <rFont val="Tahoma"/>
            <family val="0"/>
          </rPr>
          <t>Email Mandatory:</t>
        </r>
        <r>
          <rPr>
            <sz val="8"/>
            <rFont val="Tahoma"/>
            <family val="0"/>
          </rPr>
          <t xml:space="preserve">
0.35 Kathy
0.4 Richard</t>
        </r>
      </text>
    </comment>
    <comment ref="I72" authorId="0">
      <text>
        <r>
          <rPr>
            <b/>
            <sz val="8"/>
            <rFont val="Tahoma"/>
            <family val="0"/>
          </rPr>
          <t>Email Discretionary:</t>
        </r>
        <r>
          <rPr>
            <sz val="8"/>
            <rFont val="Tahoma"/>
            <family val="0"/>
          </rPr>
          <t xml:space="preserve">
0.15 Kathy
0.15 Richard
</t>
        </r>
      </text>
    </comment>
    <comment ref="D66" authorId="0">
      <text>
        <r>
          <rPr>
            <b/>
            <sz val="8"/>
            <rFont val="Tahoma"/>
            <family val="0"/>
          </rPr>
          <t>Cognos mandatory:</t>
        </r>
        <r>
          <rPr>
            <sz val="8"/>
            <rFont val="Tahoma"/>
            <family val="0"/>
          </rPr>
          <t xml:space="preserve">
0.05 Quint
0.025 Nazrat
0.05 Ken
0.4 Roger - Finance
0.5 Doreen - Finance</t>
        </r>
      </text>
    </comment>
    <comment ref="C59" authorId="0">
      <text>
        <r>
          <rPr>
            <b/>
            <sz val="8"/>
            <rFont val="Tahoma"/>
            <family val="0"/>
          </rPr>
          <t>Banner CIM External:</t>
        </r>
        <r>
          <rPr>
            <sz val="8"/>
            <rFont val="Tahoma"/>
            <family val="0"/>
          </rPr>
          <t xml:space="preserve">
Banner Self Serve 4,286
CIM IAS 9,392
CIM IDS 8,000 estimate
SUN server maintenance 5,147</t>
        </r>
        <r>
          <rPr>
            <sz val="8"/>
            <rFont val="Tahoma"/>
            <family val="0"/>
          </rPr>
          <t xml:space="preserve">
</t>
        </r>
      </text>
    </comment>
    <comment ref="C64" authorId="0">
      <text>
        <r>
          <rPr>
            <b/>
            <sz val="8"/>
            <rFont val="Tahoma"/>
            <family val="0"/>
          </rPr>
          <t>CODA External:</t>
        </r>
        <r>
          <rPr>
            <sz val="8"/>
            <rFont val="Tahoma"/>
            <family val="0"/>
          </rPr>
          <t xml:space="preserve">
CODA maint 19,979
</t>
        </r>
      </text>
    </comment>
    <comment ref="C66" authorId="0">
      <text>
        <r>
          <rPr>
            <b/>
            <sz val="8"/>
            <rFont val="Tahoma"/>
            <family val="0"/>
          </rPr>
          <t>Cognos external:</t>
        </r>
        <r>
          <rPr>
            <sz val="8"/>
            <rFont val="Tahoma"/>
            <family val="0"/>
          </rPr>
          <t xml:space="preserve">
Cognos maint 20,596
</t>
        </r>
      </text>
    </comment>
    <comment ref="C76" authorId="0">
      <text>
        <r>
          <rPr>
            <b/>
            <sz val="8"/>
            <rFont val="Tahoma"/>
            <family val="0"/>
          </rPr>
          <t>HR External:</t>
        </r>
        <r>
          <rPr>
            <sz val="8"/>
            <rFont val="Tahoma"/>
            <family val="0"/>
          </rPr>
          <t xml:space="preserve">
Now Solutions 48,413</t>
        </r>
      </text>
    </comment>
    <comment ref="C72" authorId="0">
      <text>
        <r>
          <rPr>
            <b/>
            <sz val="8"/>
            <rFont val="Tahoma"/>
            <family val="0"/>
          </rPr>
          <t>Email External:</t>
        </r>
        <r>
          <rPr>
            <sz val="8"/>
            <rFont val="Tahoma"/>
            <family val="0"/>
          </rPr>
          <t xml:space="preserve">
PMDF mail software 3,748
Precise Mail 5,985
Blackhole anti-spam list 1,094
Sophos anti-virus 4,162</t>
        </r>
      </text>
    </comment>
    <comment ref="C20" authorId="0">
      <text>
        <r>
          <rPr>
            <b/>
            <sz val="8"/>
            <rFont val="Tahoma"/>
            <family val="0"/>
          </rPr>
          <t>Networks External:</t>
        </r>
        <r>
          <rPr>
            <sz val="8"/>
            <rFont val="Tahoma"/>
            <family val="0"/>
          </rPr>
          <t xml:space="preserve">
Passport 8610 switches 23,714
Contivity 2600 VPN 3,177
Budget for network 307,000
Evergreening 80,000
PacketShaper 6500 4,548
Wireless Access 3,435</t>
        </r>
      </text>
    </comment>
    <comment ref="C87" authorId="0">
      <text>
        <r>
          <rPr>
            <b/>
            <sz val="8"/>
            <rFont val="Tahoma"/>
            <family val="0"/>
          </rPr>
          <t>Phone Systems External:</t>
        </r>
        <r>
          <rPr>
            <sz val="8"/>
            <rFont val="Tahoma"/>
            <family val="0"/>
          </rPr>
          <t xml:space="preserve">
NANNUA 300
Avotus PBX accounting 3,569
Delphi PBX maint 42,416
Phone Sys Maint 17,423
All AU: Rogers long distance and toll free &amp;
Telus PRI, analog lines etc. &amp;
Telus teleconferencing 319,000
Equipment - 4,000</t>
        </r>
      </text>
    </comment>
    <comment ref="C22" authorId="0">
      <text>
        <r>
          <rPr>
            <b/>
            <sz val="8"/>
            <rFont val="Tahoma"/>
            <family val="0"/>
          </rPr>
          <t>Server Infrastructure - External:</t>
        </r>
        <r>
          <rPr>
            <sz val="8"/>
            <rFont val="Tahoma"/>
            <family val="0"/>
          </rPr>
          <t xml:space="preserve">
CSLG 1,620
HP Admin fee 500
SUN Education Initiative 594
OpenBSD 2,062
Red Hat Linux 3,151
HP support 39,548
Liebert UPS 9,500
Evergreening 80,000</t>
        </r>
      </text>
    </comment>
    <comment ref="C23" authorId="0">
      <text>
        <r>
          <rPr>
            <b/>
            <sz val="8"/>
            <rFont val="Tahoma"/>
            <family val="0"/>
          </rPr>
          <t>Web Server Infrastructure:</t>
        </r>
        <r>
          <rPr>
            <sz val="8"/>
            <rFont val="Tahoma"/>
            <family val="0"/>
          </rPr>
          <t xml:space="preserve">
Red Hat Linux 3,078
HELIX 2,257
Net Mechanic 282
Quest Jprobe 1,293
Soltrus 2,771
Elluminate 40,793
DRBD lic 106
</t>
        </r>
      </text>
    </comment>
    <comment ref="C85" authorId="0">
      <text>
        <r>
          <rPr>
            <b/>
            <sz val="8"/>
            <rFont val="Tahoma"/>
            <family val="0"/>
          </rPr>
          <t>PC External:</t>
        </r>
        <r>
          <rPr>
            <sz val="8"/>
            <rFont val="Tahoma"/>
            <family val="0"/>
          </rPr>
          <t xml:space="preserve">
Microsoft Select 500
Altiris 8,237
Deep Freeze Pro 245
Black Ice Defender 286
McAfee 28,054
Microsoft Campus 41,002
MSDN 591
Termium 573
Winbatch 235
WinZip 1,269
UIU lic 3,215
Dell Cert. 516
acm.org memb. 261
Evergreening 427,000</t>
        </r>
      </text>
    </comment>
    <comment ref="C70" authorId="0">
      <text>
        <r>
          <rPr>
            <b/>
            <sz val="8"/>
            <rFont val="Tahoma"/>
            <family val="0"/>
          </rPr>
          <t xml:space="preserve">CS Help Desk external:
</t>
        </r>
        <r>
          <rPr>
            <sz val="8"/>
            <rFont val="Tahoma"/>
            <family val="0"/>
          </rPr>
          <t xml:space="preserve">Help Desk Instuitute 577
AB Call Ctr 83
Norton 82
</t>
        </r>
      </text>
    </comment>
    <comment ref="D58" authorId="0">
      <text>
        <r>
          <rPr>
            <b/>
            <sz val="8"/>
            <rFont val="Tahoma"/>
            <family val="0"/>
          </rPr>
          <t>Banner DB Mandatory:</t>
        </r>
        <r>
          <rPr>
            <sz val="8"/>
            <rFont val="Tahoma"/>
            <family val="0"/>
          </rPr>
          <t xml:space="preserve">
Mark 0.05
Don 0.7
Nazrat 0.4
Tamara  0.475
Ken 0.075</t>
        </r>
      </text>
    </comment>
    <comment ref="I58" authorId="0">
      <text>
        <r>
          <rPr>
            <b/>
            <sz val="8"/>
            <rFont val="Tahoma"/>
            <family val="0"/>
          </rPr>
          <t>Banner DB Discretionary:</t>
        </r>
        <r>
          <rPr>
            <sz val="8"/>
            <rFont val="Tahoma"/>
            <family val="0"/>
          </rPr>
          <t xml:space="preserve">
Mark 0.8
Nazrat 0.05
Tamara 0.4
Ken 0.05
Tony 0.3</t>
        </r>
      </text>
    </comment>
    <comment ref="D64" authorId="0">
      <text>
        <r>
          <rPr>
            <b/>
            <sz val="8"/>
            <rFont val="Tahoma"/>
            <family val="0"/>
          </rPr>
          <t>CODA Mandatory:</t>
        </r>
        <r>
          <rPr>
            <sz val="8"/>
            <rFont val="Tahoma"/>
            <family val="0"/>
          </rPr>
          <t xml:space="preserve">
Ken 0.025
Roger - Finance 0.2
Doreen - Finance 0.1</t>
        </r>
      </text>
    </comment>
    <comment ref="I64" authorId="0">
      <text>
        <r>
          <rPr>
            <b/>
            <sz val="8"/>
            <rFont val="Tahoma"/>
            <family val="0"/>
          </rPr>
          <t>CODA discretionary:</t>
        </r>
        <r>
          <rPr>
            <sz val="8"/>
            <rFont val="Tahoma"/>
            <family val="0"/>
          </rPr>
          <t xml:space="preserve">
Ken 0.1
James - Finance 0.2
Joy - Finance 0.2</t>
        </r>
      </text>
    </comment>
    <comment ref="D76" authorId="0">
      <text>
        <r>
          <rPr>
            <b/>
            <sz val="8"/>
            <rFont val="Tahoma"/>
            <family val="0"/>
          </rPr>
          <t>HR Mandatory:</t>
        </r>
        <r>
          <rPr>
            <sz val="8"/>
            <rFont val="Tahoma"/>
            <family val="0"/>
          </rPr>
          <t xml:space="preserve">
Ken 0.05
Roger - Finance 0.3
</t>
        </r>
      </text>
    </comment>
    <comment ref="I89" authorId="0">
      <text>
        <r>
          <rPr>
            <b/>
            <sz val="8"/>
            <rFont val="Tahoma"/>
            <family val="0"/>
          </rPr>
          <t>Purchasing Discretionary:</t>
        </r>
        <r>
          <rPr>
            <sz val="8"/>
            <rFont val="Tahoma"/>
            <family val="0"/>
          </rPr>
          <t xml:space="preserve">
0.1 Ken
0.1 James - Finance
0.1 Joy - Finance</t>
        </r>
      </text>
    </comment>
    <comment ref="I74" authorId="0">
      <text>
        <r>
          <rPr>
            <b/>
            <sz val="8"/>
            <rFont val="Tahoma"/>
            <family val="0"/>
          </rPr>
          <t>HEAT Discretionary:</t>
        </r>
        <r>
          <rPr>
            <sz val="8"/>
            <rFont val="Tahoma"/>
            <family val="0"/>
          </rPr>
          <t xml:space="preserve">
Nazrat 0.025
Ken 0.05
Kelcey 0.1</t>
        </r>
      </text>
    </comment>
    <comment ref="I66" authorId="0">
      <text>
        <r>
          <rPr>
            <b/>
            <sz val="8"/>
            <rFont val="Tahoma"/>
            <family val="0"/>
          </rPr>
          <t>Cognos discretionary:</t>
        </r>
        <r>
          <rPr>
            <sz val="8"/>
            <rFont val="Tahoma"/>
            <family val="0"/>
          </rPr>
          <t xml:space="preserve">
0.05 Nazrat
0.4 Doreen - Finance</t>
        </r>
      </text>
    </comment>
    <comment ref="D54" authorId="0">
      <text>
        <r>
          <rPr>
            <b/>
            <sz val="8"/>
            <rFont val="Tahoma"/>
            <family val="0"/>
          </rPr>
          <t>Alumni - Mandatory:</t>
        </r>
        <r>
          <rPr>
            <sz val="8"/>
            <rFont val="Tahoma"/>
            <family val="0"/>
          </rPr>
          <t xml:space="preserve">
Nazrat 0.05</t>
        </r>
      </text>
    </comment>
    <comment ref="I54" authorId="0">
      <text>
        <r>
          <rPr>
            <b/>
            <sz val="8"/>
            <rFont val="Tahoma"/>
            <family val="0"/>
          </rPr>
          <t>Alumni - Discretionary:</t>
        </r>
        <r>
          <rPr>
            <sz val="8"/>
            <rFont val="Tahoma"/>
            <family val="0"/>
          </rPr>
          <t xml:space="preserve">
Nazrat 0.05</t>
        </r>
      </text>
    </comment>
    <comment ref="H34" authorId="0">
      <text>
        <r>
          <rPr>
            <b/>
            <sz val="8"/>
            <rFont val="Tahoma"/>
            <family val="0"/>
          </rPr>
          <t>Discretionary Oracle DB:</t>
        </r>
        <r>
          <rPr>
            <sz val="8"/>
            <rFont val="Tahoma"/>
            <family val="0"/>
          </rPr>
          <t xml:space="preserve">
0.2 Ken
0.1 Don
0.1 Tony</t>
        </r>
      </text>
    </comment>
    <comment ref="D87" authorId="0">
      <text>
        <r>
          <rPr>
            <b/>
            <sz val="8"/>
            <rFont val="Tahoma"/>
            <family val="0"/>
          </rPr>
          <t>Phone Systems Mandatory:</t>
        </r>
        <r>
          <rPr>
            <sz val="8"/>
            <rFont val="Tahoma"/>
            <family val="0"/>
          </rPr>
          <t xml:space="preserve">
0.1 Les
0.1 Curt
0.7 Karen
0.05 Evan
0.05 Jonathan</t>
        </r>
      </text>
    </comment>
    <comment ref="I87" authorId="0">
      <text>
        <r>
          <rPr>
            <b/>
            <sz val="8"/>
            <rFont val="Tahoma"/>
            <family val="0"/>
          </rPr>
          <t>Phone Systems Discretionary:</t>
        </r>
        <r>
          <rPr>
            <sz val="8"/>
            <rFont val="Tahoma"/>
            <family val="0"/>
          </rPr>
          <t xml:space="preserve">
0.2 Karen
0.4 Darlene
0.2 Evan</t>
        </r>
      </text>
    </comment>
    <comment ref="D81" authorId="0">
      <text>
        <r>
          <rPr>
            <b/>
            <sz val="8"/>
            <rFont val="Tahoma"/>
            <family val="0"/>
          </rPr>
          <t>Moodle Mandatory:</t>
        </r>
        <r>
          <rPr>
            <sz val="8"/>
            <rFont val="Tahoma"/>
            <family val="0"/>
          </rPr>
          <t xml:space="preserve">
0.3 Mawuli
0.2 Oksana
0.1 Viorel
</t>
        </r>
        <r>
          <rPr>
            <b/>
            <sz val="8"/>
            <rFont val="Tahoma"/>
            <family val="0"/>
          </rPr>
          <t>TRIX Mandatory:</t>
        </r>
        <r>
          <rPr>
            <sz val="8"/>
            <rFont val="Tahoma"/>
            <family val="0"/>
          </rPr>
          <t xml:space="preserve">
Gene .2
Nazrat 0.15
Ken 0.05
Conrad 0.1</t>
        </r>
      </text>
    </comment>
    <comment ref="I81" authorId="0">
      <text>
        <r>
          <rPr>
            <b/>
            <sz val="8"/>
            <rFont val="Tahoma"/>
            <family val="0"/>
          </rPr>
          <t>Moodle Discretionary:</t>
        </r>
        <r>
          <rPr>
            <sz val="8"/>
            <rFont val="Tahoma"/>
            <family val="0"/>
          </rPr>
          <t xml:space="preserve">
0.4 Mawuli
0.3 Oksana
0.3 Viorel
</t>
        </r>
        <r>
          <rPr>
            <b/>
            <sz val="8"/>
            <rFont val="Tahoma"/>
            <family val="0"/>
          </rPr>
          <t>TRIX Discretionary:</t>
        </r>
        <r>
          <rPr>
            <sz val="8"/>
            <rFont val="Tahoma"/>
            <family val="0"/>
          </rPr>
          <t xml:space="preserve">
Ken 0.05
0.8 Gene Ady
0.4 Conrad
0.3 Oksana</t>
        </r>
      </text>
    </comment>
    <comment ref="D83" authorId="0">
      <text>
        <r>
          <rPr>
            <b/>
            <sz val="8"/>
            <rFont val="Tahoma"/>
            <family val="0"/>
          </rPr>
          <t>MyAU Mandatory:</t>
        </r>
        <r>
          <rPr>
            <sz val="8"/>
            <rFont val="Tahoma"/>
            <family val="0"/>
          </rPr>
          <t xml:space="preserve">
0.1 Trent
0.2 Chris
0.1 Viorel</t>
        </r>
      </text>
    </comment>
    <comment ref="I83" authorId="0">
      <text>
        <r>
          <rPr>
            <b/>
            <sz val="8"/>
            <rFont val="Tahoma"/>
            <family val="0"/>
          </rPr>
          <t>MyAU Discretionary:</t>
        </r>
        <r>
          <rPr>
            <sz val="8"/>
            <rFont val="Tahoma"/>
            <family val="0"/>
          </rPr>
          <t xml:space="preserve">
0.8 Chris
0.1 Viorel</t>
        </r>
      </text>
    </comment>
    <comment ref="D57" authorId="0">
      <text>
        <r>
          <rPr>
            <b/>
            <sz val="8"/>
            <rFont val="Tahoma"/>
            <family val="0"/>
          </rPr>
          <t>Banner Web Mandatory:</t>
        </r>
        <r>
          <rPr>
            <sz val="8"/>
            <rFont val="Tahoma"/>
            <family val="0"/>
          </rPr>
          <t xml:space="preserve">
0.1 Trent
</t>
        </r>
      </text>
    </comment>
    <comment ref="I57" authorId="0">
      <text>
        <r>
          <rPr>
            <b/>
            <sz val="8"/>
            <rFont val="Tahoma"/>
            <family val="0"/>
          </rPr>
          <t>Banner Web Discretionary:</t>
        </r>
        <r>
          <rPr>
            <sz val="8"/>
            <rFont val="Tahoma"/>
            <family val="0"/>
          </rPr>
          <t xml:space="preserve">
0.8 Trent
0.4 Conrad</t>
        </r>
      </text>
    </comment>
    <comment ref="D23" authorId="0">
      <text>
        <r>
          <rPr>
            <b/>
            <sz val="8"/>
            <rFont val="Tahoma"/>
            <family val="0"/>
          </rPr>
          <t>Server Infrastructure - Web - Mandatory:</t>
        </r>
        <r>
          <rPr>
            <sz val="8"/>
            <rFont val="Tahoma"/>
            <family val="0"/>
          </rPr>
          <t xml:space="preserve">
0.1 Mawuli
0.2 Oksana
0.5 Dmitry
0.4 Viorel
0.5 Daryl
</t>
        </r>
      </text>
    </comment>
    <comment ref="H23" authorId="0">
      <text>
        <r>
          <rPr>
            <b/>
            <sz val="8"/>
            <rFont val="Tahoma"/>
            <family val="0"/>
          </rPr>
          <t>Server Infrastructure - Web - Discretionary:</t>
        </r>
        <r>
          <rPr>
            <sz val="8"/>
            <rFont val="Tahoma"/>
            <family val="0"/>
          </rPr>
          <t xml:space="preserve">
0.2 Mawuli
0.5 Dmitry
0.1 Viorel
0.5 Daryl
</t>
        </r>
      </text>
    </comment>
    <comment ref="D70" authorId="0">
      <text>
        <r>
          <rPr>
            <b/>
            <sz val="8"/>
            <rFont val="Tahoma"/>
            <family val="0"/>
          </rPr>
          <t>CS Help Desk mandatory:</t>
        </r>
        <r>
          <rPr>
            <sz val="8"/>
            <rFont val="Tahoma"/>
            <family val="0"/>
          </rPr>
          <t xml:space="preserve">
See Confidential - Detail Salary for a list of names</t>
        </r>
      </text>
    </comment>
    <comment ref="D74" authorId="0">
      <text>
        <r>
          <rPr>
            <b/>
            <sz val="8"/>
            <rFont val="Tahoma"/>
            <family val="0"/>
          </rPr>
          <t>HEAT Mandatory:</t>
        </r>
        <r>
          <rPr>
            <sz val="8"/>
            <rFont val="Tahoma"/>
            <family val="0"/>
          </rPr>
          <t xml:space="preserve">
0.4 Mike</t>
        </r>
      </text>
    </comment>
    <comment ref="I76" authorId="0">
      <text>
        <r>
          <rPr>
            <b/>
            <sz val="8"/>
            <rFont val="Tahoma"/>
            <family val="0"/>
          </rPr>
          <t>HR Discretionary:</t>
        </r>
        <r>
          <rPr>
            <sz val="8"/>
            <rFont val="Tahoma"/>
            <family val="0"/>
          </rPr>
          <t xml:space="preserve">
James - Fianance 0.5
Joy - Finance 0.4</t>
        </r>
      </text>
    </comment>
    <comment ref="D89" authorId="0">
      <text>
        <r>
          <rPr>
            <b/>
            <sz val="8"/>
            <rFont val="Tahoma"/>
            <family val="0"/>
          </rPr>
          <t>Purchasing Mandatory:</t>
        </r>
        <r>
          <rPr>
            <sz val="8"/>
            <rFont val="Tahoma"/>
            <family val="0"/>
          </rPr>
          <t xml:space="preserve">
0.1 Roger - Finance</t>
        </r>
      </text>
    </comment>
    <comment ref="D60" authorId="0">
      <text>
        <r>
          <rPr>
            <b/>
            <sz val="8"/>
            <rFont val="Tahoma"/>
            <family val="0"/>
          </rPr>
          <t>Banner Finance Mandatory:</t>
        </r>
        <r>
          <rPr>
            <sz val="8"/>
            <rFont val="Tahoma"/>
            <family val="0"/>
          </rPr>
          <t xml:space="preserve">
0.1 James - Finance A/R T2202A</t>
        </r>
      </text>
    </comment>
    <comment ref="D78" authorId="0">
      <text>
        <r>
          <rPr>
            <b/>
            <sz val="8"/>
            <rFont val="Tahoma"/>
            <family val="0"/>
          </rPr>
          <t>Lotus Notes Mandatory:</t>
        </r>
        <r>
          <rPr>
            <sz val="8"/>
            <rFont val="Tahoma"/>
            <family val="0"/>
          </rPr>
          <t xml:space="preserve">
1.0 Helpdesk Analyst
.5 Systems Administrator
.25 Application Developer</t>
        </r>
      </text>
    </comment>
    <comment ref="C78" authorId="0">
      <text>
        <r>
          <rPr>
            <b/>
            <sz val="8"/>
            <rFont val="Tahoma"/>
            <family val="0"/>
          </rPr>
          <t>Lotus Notes External:</t>
        </r>
        <r>
          <rPr>
            <sz val="8"/>
            <rFont val="Tahoma"/>
            <family val="0"/>
          </rPr>
          <t xml:space="preserve">
10,500 hardware replacement 5 yr
7,100 software
5,000 contract for services</t>
        </r>
      </text>
    </comment>
    <comment ref="C54" authorId="0">
      <text>
        <r>
          <rPr>
            <b/>
            <sz val="8"/>
            <rFont val="Tahoma"/>
            <family val="0"/>
          </rPr>
          <t>Alumni - External Fees:</t>
        </r>
        <r>
          <rPr>
            <sz val="8"/>
            <rFont val="Tahoma"/>
            <family val="0"/>
          </rPr>
          <t xml:space="preserve">
9,402 Raisers' Edge annual support</t>
        </r>
      </text>
    </comment>
    <comment ref="F70" authorId="0">
      <text>
        <r>
          <rPr>
            <b/>
            <sz val="8"/>
            <rFont val="Tahoma"/>
            <family val="0"/>
          </rPr>
          <t xml:space="preserve">CS Help Desk Internal Cost:
</t>
        </r>
        <r>
          <rPr>
            <sz val="8"/>
            <rFont val="Tahoma"/>
            <family val="0"/>
          </rPr>
          <t>0.5 of Karen
0.5 of Darlene
1.0 of all other Help Desk Analysts</t>
        </r>
        <r>
          <rPr>
            <sz val="8"/>
            <rFont val="Tahoma"/>
            <family val="0"/>
          </rPr>
          <t xml:space="preserve">
</t>
        </r>
      </text>
    </comment>
    <comment ref="C81" authorId="0">
      <text>
        <r>
          <rPr>
            <b/>
            <sz val="8"/>
            <rFont val="Tahoma"/>
            <family val="0"/>
          </rPr>
          <t>TRIX External:</t>
        </r>
        <r>
          <rPr>
            <sz val="8"/>
            <rFont val="Tahoma"/>
            <family val="0"/>
          </rPr>
          <t xml:space="preserve">
Alfresco 60,000
</t>
        </r>
      </text>
    </comment>
    <comment ref="C91" authorId="0">
      <text>
        <r>
          <rPr>
            <b/>
            <sz val="8"/>
            <rFont val="Tahoma"/>
            <family val="0"/>
          </rPr>
          <t>Research Support  External:</t>
        </r>
        <r>
          <rPr>
            <sz val="8"/>
            <rFont val="Tahoma"/>
            <family val="0"/>
          </rPr>
          <t xml:space="preserve">
Netera Membership 5,155
ECAR membership 5,871
Educause dues 1,619
SPSS 815
</t>
        </r>
      </text>
    </comment>
    <comment ref="D91" authorId="0">
      <text>
        <r>
          <rPr>
            <b/>
            <sz val="8"/>
            <rFont val="Tahoma"/>
            <family val="0"/>
          </rPr>
          <t>Research Support Mandatory:</t>
        </r>
        <r>
          <rPr>
            <sz val="8"/>
            <rFont val="Tahoma"/>
            <family val="0"/>
          </rPr>
          <t xml:space="preserve">
1.0 Shubash</t>
        </r>
      </text>
    </comment>
    <comment ref="C93" authorId="0">
      <text>
        <r>
          <rPr>
            <b/>
            <sz val="8"/>
            <rFont val="Tahoma"/>
            <family val="0"/>
          </rPr>
          <t>Training - IT External:</t>
        </r>
        <r>
          <rPr>
            <sz val="8"/>
            <rFont val="Tahoma"/>
            <family val="0"/>
          </rPr>
          <t xml:space="preserve">
External MS Office training ?
</t>
        </r>
      </text>
    </comment>
    <comment ref="D93" authorId="0">
      <text>
        <r>
          <rPr>
            <b/>
            <sz val="8"/>
            <rFont val="Tahoma"/>
            <family val="0"/>
          </rPr>
          <t>Training - IT Mandatory:</t>
        </r>
        <r>
          <rPr>
            <sz val="8"/>
            <rFont val="Tahoma"/>
            <family val="0"/>
          </rPr>
          <t xml:space="preserve">
0.6 Mike
1.0 Carol
? Gary</t>
        </r>
      </text>
    </comment>
    <comment ref="C74" authorId="1">
      <text>
        <r>
          <rPr>
            <sz val="10"/>
            <rFont val="Tahoma"/>
            <family val="0"/>
          </rPr>
          <t>Front Range (HEAT/Knowledge base) 24,828
Avante Right Answers 7,628</t>
        </r>
      </text>
    </comment>
    <comment ref="C79" authorId="2">
      <text>
        <r>
          <rPr>
            <sz val="8"/>
            <rFont val="Tahoma"/>
            <family val="0"/>
          </rPr>
          <t xml:space="preserve">SoB:
$8,262 IBM Lotus Notes
</t>
        </r>
      </text>
    </comment>
  </commentList>
</comments>
</file>

<file path=xl/sharedStrings.xml><?xml version="1.0" encoding="utf-8"?>
<sst xmlns="http://schemas.openxmlformats.org/spreadsheetml/2006/main" count="568" uniqueCount="296">
  <si>
    <r>
      <t>7.</t>
    </r>
    <r>
      <rPr>
        <sz val="11"/>
        <rFont val="Arial"/>
        <family val="0"/>
      </rPr>
      <t xml:space="preserve"> The Oracle database costs include maintenance fees paid to Oracle for license maintenance, as well as mandatory and discretionary database staff costs. This total value for Oracle services is spread among all systems which use Oracle as their database management system. There are various ways of apportioning those costs, including perhaps the number of users of the system or the disk space used, or network traffic, or others. Any measure which seems practical, reasonable, and equitable would be acceptable. We decided to use a measure of the number of databases associated with a system (because there is some overhead associated with having a database) as well as the Oracle dump size reflecting the volume of data associated with a database (which represents, but is not equal to, the actual disk space used by an Oracle database). These two factors for each system were aggregated and their relative percentage of total Oracle usage used to determine a percentage of the Oracle costs to associate with each system. The percentages thus obtained pass the "taste test" of appearing to be reasonable given our knowledge of the systems in question.</t>
    </r>
  </si>
  <si>
    <r>
      <t>9.</t>
    </r>
    <r>
      <rPr>
        <sz val="11"/>
        <rFont val="Arial"/>
        <family val="0"/>
      </rPr>
      <t xml:space="preserve"> The estimated total of all IT costs within AU is provided as the sum of the direct/systems, and the indirect/infrastructure, costs. Some systems and IT costs of the University are not included in this model, examples of which might include IT resources directly attached to an academic centre for their specific purposes, or costs associated with summer students.</t>
    </r>
  </si>
  <si>
    <r>
      <t xml:space="preserve">2. </t>
    </r>
    <r>
      <rPr>
        <sz val="11"/>
        <rFont val="Arial"/>
        <family val="0"/>
      </rPr>
      <t>The indirect costs for each person are obtained by assessing a "levy" for the supervisor of each staff member, and for a cost associated with the Director of Computing Services (CS) and AU's CIO. Because a supervisor/manager is not included in the average hours as a worker (whether that be Help Desk Analyst or Systems Analyst or whomever), a formula percentage  of their annual costs are allocated amongst the staff who report to them. Similarly, a portion of the Director of CS, and of the Office of the CIO's costs are apportioned amongst all CS staff. Other indirect costs include a recognition as "AU Overhead" that other central support units, specifically Human Resources and Finance, provide support services to CS and IT. We allocate that portion based on their departmental budgets split proportionally to what is CS's portion of AU's total annual budget. "Admin costs" reflects items like phones and photocopying, split amongst all CS employees.</t>
    </r>
  </si>
  <si>
    <r>
      <t>8.</t>
    </r>
    <r>
      <rPr>
        <sz val="11"/>
        <rFont val="Arial"/>
        <family val="0"/>
      </rPr>
      <t xml:space="preserve"> The last portion of this sheet lists major IT systems of the University, and allocates the IT costs of AU as much as possible to those systems. Where possible, actual proportions of staff time allocated directly to these systems are reflected in the Mandatory and Discretionary staff costs. External fees like vendor maintenance charges, and the proportion of Oracle database costs (if Oracle is used) were included.</t>
    </r>
  </si>
  <si>
    <t>Annotations</t>
  </si>
  <si>
    <t>kwh, as measuerd at the UPS for the CPU rooms</t>
  </si>
  <si>
    <t>Factors</t>
  </si>
  <si>
    <t>Table 8: Model Annotations</t>
  </si>
  <si>
    <t>Table 4: System Costing Criteria</t>
  </si>
  <si>
    <t>Notes</t>
  </si>
  <si>
    <t>Factor</t>
  </si>
  <si>
    <t>Data</t>
  </si>
  <si>
    <t>Example: approximately 5% of Finance, HR 2008/09 operating budget</t>
  </si>
  <si>
    <t>Allocated equally across all IT staff</t>
  </si>
  <si>
    <t>Average annual TCO of PC and similar equipment, per person</t>
  </si>
  <si>
    <t>Sum of counts at locations 1 and 2</t>
  </si>
  <si>
    <t>Count by formula where location = 2</t>
  </si>
  <si>
    <t>Includes server rooms</t>
  </si>
  <si>
    <t>Per year, includes utilities, insurance, janitorial, allowance for building value</t>
  </si>
  <si>
    <t>Count by formula where location = 1</t>
  </si>
  <si>
    <t>Includes main and academic server rooms</t>
  </si>
  <si>
    <t>Information Systems</t>
  </si>
  <si>
    <t>Table 7: Information System Costs</t>
  </si>
  <si>
    <t>Table 5: Information Technology System Infrastructure Costs</t>
  </si>
  <si>
    <t>Printing, copying, travel and training, books, etc. (actuals from 20XX/20XX)</t>
  </si>
  <si>
    <t>Junior Systems Administrator</t>
  </si>
  <si>
    <t>Tester/Trainer</t>
  </si>
  <si>
    <t>Data</t>
  </si>
  <si>
    <t>Job Grouping</t>
  </si>
  <si>
    <t>Average of Direct Per Hour Cost</t>
  </si>
  <si>
    <t>External Unit 1 average hourly rate</t>
  </si>
  <si>
    <t>External Unit 2 average hourly rate</t>
  </si>
  <si>
    <t>Average Absorbed Per Hour Cost</t>
  </si>
  <si>
    <t>Professional B is about $67, C is about $78</t>
  </si>
  <si>
    <t>Notes</t>
  </si>
  <si>
    <t>Total staff count, all locations</t>
  </si>
  <si>
    <t># staff sharing space at location 1</t>
  </si>
  <si>
    <t>Usage at location 2 - sq. ft.</t>
  </si>
  <si>
    <t># staff sharing space at location 2</t>
  </si>
  <si>
    <t>% of supervisor's cost that is spread across staff reporting to the supervisor</t>
  </si>
  <si>
    <t>Value of Director and Administrative Assistants to allocate across all other IT employees</t>
  </si>
  <si>
    <t>Overhead Allocations</t>
  </si>
  <si>
    <t>Equipment cost per person</t>
  </si>
  <si>
    <t>The Big Kahuna</t>
  </si>
  <si>
    <t>She Who Must be Obeyed</t>
  </si>
  <si>
    <t>Institutional overhead assessment</t>
  </si>
  <si>
    <t>Head Nag and Paper Pusher</t>
  </si>
  <si>
    <t>Test Test Test!</t>
  </si>
  <si>
    <t>What You Don't Know Can Hurt You</t>
  </si>
  <si>
    <t>Person Name</t>
  </si>
  <si>
    <t>IF2</t>
  </si>
  <si>
    <t>Intermediate Systems Administrator</t>
  </si>
  <si>
    <t>User Specialist</t>
  </si>
  <si>
    <t>IF9</t>
  </si>
  <si>
    <t>IF10</t>
  </si>
  <si>
    <t>IF11</t>
  </si>
  <si>
    <t>IF12</t>
  </si>
  <si>
    <t>IF13</t>
  </si>
  <si>
    <t>IF14</t>
  </si>
  <si>
    <t>IF15</t>
  </si>
  <si>
    <t>The All Powerful</t>
  </si>
  <si>
    <t>IF16</t>
  </si>
  <si>
    <t>IF17</t>
  </si>
  <si>
    <t>IF18</t>
  </si>
  <si>
    <t>IF19</t>
  </si>
  <si>
    <t>IF20</t>
  </si>
  <si>
    <t>We Aim to Please</t>
  </si>
  <si>
    <t>IF21</t>
  </si>
  <si>
    <t>IF22</t>
  </si>
  <si>
    <t>IF23</t>
  </si>
  <si>
    <t>IF24</t>
  </si>
  <si>
    <t>IF25</t>
  </si>
  <si>
    <t>IF26</t>
  </si>
  <si>
    <t>IF27</t>
  </si>
  <si>
    <t>Worker of Miracles</t>
  </si>
  <si>
    <t>IF28</t>
  </si>
  <si>
    <t>IF29</t>
  </si>
  <si>
    <t>IF30</t>
  </si>
  <si>
    <t>IF31</t>
  </si>
  <si>
    <t>IF32</t>
  </si>
  <si>
    <t>Office space, per square foot - location 2</t>
  </si>
  <si>
    <t>Working hours, per day</t>
  </si>
  <si>
    <t>Men In Black 1</t>
  </si>
  <si>
    <t>Men In Black 2</t>
  </si>
  <si>
    <t>Room Support - location 1</t>
  </si>
  <si>
    <t>Room Support - location 2</t>
  </si>
  <si>
    <t>R1</t>
  </si>
  <si>
    <t>PA</t>
  </si>
  <si>
    <t>PB</t>
  </si>
  <si>
    <t>PE</t>
  </si>
  <si>
    <t>PC</t>
  </si>
  <si>
    <t>PD</t>
  </si>
  <si>
    <t>R2</t>
  </si>
  <si>
    <t>Location</t>
  </si>
  <si>
    <t>Overhead</t>
  </si>
  <si>
    <t>Junior Web Systems Administrator</t>
  </si>
  <si>
    <t>Intermediate Micro Computer Support Analyst</t>
  </si>
  <si>
    <t>Info Technology Systems (ITS)</t>
  </si>
  <si>
    <t>ITS Help Desk</t>
  </si>
  <si>
    <t>ITS PC Support</t>
  </si>
  <si>
    <t>ITSIM Telecom &amp; Networking</t>
  </si>
  <si>
    <t>ITSIM Client &amp; Operational Services</t>
  </si>
  <si>
    <t>Administrative Systems</t>
  </si>
  <si>
    <t>Learning &amp; Research Web Services</t>
  </si>
  <si>
    <t>Administrative Web Services</t>
  </si>
  <si>
    <t>Working hours, exclusive of stat holidays, vacation hours included</t>
  </si>
  <si>
    <t>Number of working hours per day</t>
  </si>
  <si>
    <t>Data</t>
  </si>
  <si>
    <t>Data</t>
  </si>
  <si>
    <t>Table 1: Cost Criteria Factors</t>
  </si>
  <si>
    <t>Table 2: Staff Costing Profile</t>
  </si>
  <si>
    <t>Infrastructure</t>
  </si>
  <si>
    <t>Databases</t>
  </si>
  <si>
    <t>DB Indirect Costs</t>
  </si>
  <si>
    <t>Table 6: Allocation of Database (DB) Costs</t>
  </si>
  <si>
    <t>Contract Registry</t>
  </si>
  <si>
    <t>Total:</t>
  </si>
  <si>
    <t>Total Indirect Infrastructure Costs:</t>
  </si>
  <si>
    <t>(365 days - 104 weekend days - 22 vacation days - 20 stat days - 8 sick/dr appt) * 6 hr/day</t>
  </si>
  <si>
    <t>MyAU</t>
  </si>
  <si>
    <t>Total Cost</t>
  </si>
  <si>
    <t>Annual Repeat Cost</t>
  </si>
  <si>
    <t>Discretionary FTE's</t>
  </si>
  <si>
    <t>Web/DB</t>
  </si>
  <si>
    <t>Finance</t>
  </si>
  <si>
    <t>DB/Sys/Fin</t>
  </si>
  <si>
    <t>DB/Finance</t>
  </si>
  <si>
    <t>Junior Help Desk Analyst</t>
  </si>
  <si>
    <t>Junior Micro Computer Support Analyst</t>
  </si>
  <si>
    <t>Project Manager</t>
  </si>
  <si>
    <t>Lotus Notes</t>
  </si>
  <si>
    <t>SoB</t>
  </si>
  <si>
    <t>Cognos</t>
  </si>
  <si>
    <t>Reseach Support</t>
  </si>
  <si>
    <t>Web/Telecom</t>
  </si>
  <si>
    <t>Training - IT</t>
  </si>
  <si>
    <t>HR/Appl.</t>
  </si>
  <si>
    <t>Electricity cost</t>
  </si>
  <si>
    <t>Annual electrical consumption</t>
  </si>
  <si>
    <t>Systems Programmer/Micro Technician</t>
  </si>
  <si>
    <t>Senior Systems Analyst</t>
  </si>
  <si>
    <t>Systems Analyst/Programmer</t>
  </si>
  <si>
    <t>Programmer/Analyst</t>
  </si>
  <si>
    <t>Database Administrator</t>
  </si>
  <si>
    <t>Database Services</t>
  </si>
  <si>
    <t>Database Analyst</t>
  </si>
  <si>
    <t>Senior Web Systems Administrator</t>
  </si>
  <si>
    <t>Web Programmer/Analyst</t>
  </si>
  <si>
    <t>Senior Systems Analyst/Programmer Web</t>
  </si>
  <si>
    <t>Systems Analyst/Web Software Engineer</t>
  </si>
  <si>
    <t>Intermediate Web Systems Administrator</t>
  </si>
  <si>
    <t>Space</t>
  </si>
  <si>
    <t>CIO Levy</t>
  </si>
  <si>
    <t>Supervisors assessment</t>
  </si>
  <si>
    <t>Manager assessment</t>
  </si>
  <si>
    <t>Super Levy</t>
  </si>
  <si>
    <t>Manage Levy</t>
  </si>
  <si>
    <t>Help Desk Analyst</t>
  </si>
  <si>
    <t>Admin Costs</t>
  </si>
  <si>
    <t>Admin costs</t>
  </si>
  <si>
    <t>Software Quality Analyst</t>
  </si>
  <si>
    <t>Database Project Manager</t>
  </si>
  <si>
    <t>System</t>
  </si>
  <si>
    <t>Applications</t>
  </si>
  <si>
    <t>Discretionary Hours</t>
  </si>
  <si>
    <t>Email</t>
  </si>
  <si>
    <t>Systems</t>
  </si>
  <si>
    <t>CODA</t>
  </si>
  <si>
    <t>DB/Systems</t>
  </si>
  <si>
    <t>HR systems</t>
  </si>
  <si>
    <t>Phone Systems</t>
  </si>
  <si>
    <t>CS Help Desk</t>
  </si>
  <si>
    <t>Imaginary Friend (IF) 1</t>
  </si>
  <si>
    <t>IF3</t>
  </si>
  <si>
    <t>Cat Herder</t>
  </si>
  <si>
    <t>How May I Be of Service (HMIBOS) 1</t>
  </si>
  <si>
    <t>HMIBOS 2</t>
  </si>
  <si>
    <t>HMIBOS 3</t>
  </si>
  <si>
    <t>HMIBOS 4</t>
  </si>
  <si>
    <t>HMIBOS 5</t>
  </si>
  <si>
    <t>HMIBOS 6</t>
  </si>
  <si>
    <t>HMIBOS 7</t>
  </si>
  <si>
    <t>HMIBOS 8</t>
  </si>
  <si>
    <t>Geek Squad 1</t>
  </si>
  <si>
    <t>Geek Squad 2</t>
  </si>
  <si>
    <t>Geek Squad 3</t>
  </si>
  <si>
    <t>Geek Squad 4</t>
  </si>
  <si>
    <t>Geek Squad 5</t>
  </si>
  <si>
    <t>Geek Squad 6</t>
  </si>
  <si>
    <t>Geek Squad 7</t>
  </si>
  <si>
    <t>Geek Squad 8</t>
  </si>
  <si>
    <t>Geek Squad 9</t>
  </si>
  <si>
    <t>There are no Network Problems!</t>
  </si>
  <si>
    <t>IF4</t>
  </si>
  <si>
    <t>IF5</t>
  </si>
  <si>
    <t>IF6</t>
  </si>
  <si>
    <t>IF7</t>
  </si>
  <si>
    <t>IF8</t>
  </si>
  <si>
    <t>SysGuy 1</t>
  </si>
  <si>
    <t>SysGuy 2</t>
  </si>
  <si>
    <t>SysGuy 3</t>
  </si>
  <si>
    <t>SysGuy 4</t>
  </si>
  <si>
    <t>SysGuy 5</t>
  </si>
  <si>
    <t>You Want it When?</t>
  </si>
  <si>
    <t>Senior Systems Administrator</t>
  </si>
  <si>
    <t>Database Costs</t>
  </si>
  <si>
    <t>External Fees</t>
  </si>
  <si>
    <t>Internal Cost</t>
  </si>
  <si>
    <t>IT Project Administrator</t>
  </si>
  <si>
    <t>Banner</t>
  </si>
  <si>
    <t>Web</t>
  </si>
  <si>
    <t>DB</t>
  </si>
  <si>
    <t>Mandatory Staff FTE's</t>
  </si>
  <si>
    <t>Mandatory Person Hours</t>
  </si>
  <si>
    <t>CIM</t>
  </si>
  <si>
    <t>Adjusted work hours / year</t>
  </si>
  <si>
    <t>Oracle DB</t>
  </si>
  <si>
    <t>Networks</t>
  </si>
  <si>
    <t>Telecom</t>
  </si>
  <si>
    <t>PC Software and support</t>
  </si>
  <si>
    <t>Usage Factor</t>
  </si>
  <si>
    <t>% of Total</t>
  </si>
  <si>
    <t>HR - Now Solutions</t>
  </si>
  <si>
    <t>Finance - CODA</t>
  </si>
  <si>
    <t>Budget/Reporting - Cognos</t>
  </si>
  <si>
    <t>Purchasing</t>
  </si>
  <si>
    <t>HEAT</t>
  </si>
  <si>
    <t>Alumni - Raisers' Edge</t>
  </si>
  <si>
    <t>Major Database Systems</t>
  </si>
  <si>
    <t>PCU</t>
  </si>
  <si>
    <t>Disk Space</t>
  </si>
  <si>
    <t>Absorbed Costs</t>
  </si>
  <si>
    <t>Direct Costs</t>
  </si>
  <si>
    <t>Total</t>
  </si>
  <si>
    <t>Staff Resources</t>
  </si>
  <si>
    <t>Electricity</t>
  </si>
  <si>
    <t>Position Title</t>
  </si>
  <si>
    <t>Salary</t>
  </si>
  <si>
    <t>Unit</t>
  </si>
  <si>
    <t>Director</t>
  </si>
  <si>
    <t>Admin</t>
  </si>
  <si>
    <t>Admin Assistant</t>
  </si>
  <si>
    <t>Coordinator, Help Desk and PC Support</t>
  </si>
  <si>
    <t>Senior Help Desk Analyst</t>
  </si>
  <si>
    <t>Senior Help Desk Analyst (0.5 FTE)</t>
  </si>
  <si>
    <t>Per Hour Cost</t>
  </si>
  <si>
    <t>Working hours, per year</t>
  </si>
  <si>
    <t>Help Desk</t>
  </si>
  <si>
    <t>Micro Computer Systems Analyst</t>
  </si>
  <si>
    <t>Benefits</t>
  </si>
  <si>
    <t>HEAT/Altiris Administrator</t>
  </si>
  <si>
    <t>Leave Days</t>
  </si>
  <si>
    <t>Telecom &amp; Networks Manager</t>
  </si>
  <si>
    <t>Networks Technician</t>
  </si>
  <si>
    <t>Telecomm Technician</t>
  </si>
  <si>
    <t>Voice Mail Analyst (0.5 FTE)</t>
  </si>
  <si>
    <t>Security Systems Administrator</t>
  </si>
  <si>
    <t>UNIX Systems Administrator</t>
  </si>
  <si>
    <t>Senior Electronics Technician</t>
  </si>
  <si>
    <t>Identity &amp; Access Management</t>
  </si>
  <si>
    <t>Unit Manager</t>
  </si>
  <si>
    <t>IT Trainer</t>
  </si>
  <si>
    <t>Network Analyst</t>
  </si>
  <si>
    <t>Manager, Learning &amp; Research Web Services</t>
  </si>
  <si>
    <t>Manager, Identity &amp; Access Management</t>
  </si>
  <si>
    <t>Microcomputer Support</t>
  </si>
  <si>
    <t>Network/Telecomm Support</t>
  </si>
  <si>
    <t>Database Analyst/Administrator</t>
  </si>
  <si>
    <t>Moodle/Newton/Alfresco</t>
  </si>
  <si>
    <t>Web Appl Specialist/tester</t>
  </si>
  <si>
    <t>Systems Analyst/ Web Soft Eng</t>
  </si>
  <si>
    <t>Rank</t>
  </si>
  <si>
    <t>Staff Parameters</t>
  </si>
  <si>
    <t>Materials Provisioning</t>
  </si>
  <si>
    <t>Office space, per square foot - location 1</t>
  </si>
  <si>
    <t>Usage at location 1 - sq. ft.</t>
  </si>
  <si>
    <t>DB/PCU</t>
  </si>
  <si>
    <t>Total Attributed Costs:</t>
  </si>
  <si>
    <t>Telecom/Systems</t>
  </si>
  <si>
    <t>Server Infrastructure/Security</t>
  </si>
  <si>
    <t>April 2009</t>
  </si>
  <si>
    <t>Per kwh (April 2009)</t>
  </si>
  <si>
    <t>Number of Databases</t>
  </si>
  <si>
    <r>
      <t>3.</t>
    </r>
    <r>
      <rPr>
        <sz val="11"/>
        <rFont val="Arial"/>
        <family val="0"/>
      </rPr>
      <t xml:space="preserve"> The sum of the direct and indirect costs, divided by working hours, provides an "absorbed" hourly cost for each employee.</t>
    </r>
  </si>
  <si>
    <t>Table 3: Average Hourly Rates</t>
  </si>
  <si>
    <r>
      <t>5.</t>
    </r>
    <r>
      <rPr>
        <sz val="11"/>
        <rFont val="Arial"/>
        <family val="0"/>
      </rPr>
      <t xml:space="preserve"> The fourth tab of this model, titled "</t>
    </r>
    <r>
      <rPr>
        <b/>
        <sz val="11"/>
        <rFont val="Arial"/>
        <family val="2"/>
      </rPr>
      <t>Systems</t>
    </r>
    <r>
      <rPr>
        <sz val="11"/>
        <rFont val="Arial"/>
        <family val="0"/>
      </rPr>
      <t>" attributes the IT costs of the University both directly to specific major systems, as well as indirectly to several major infrastructure components of IT. As much as possible, the actual staff time spent directly on systems support is apportioned to each system within this sheet. Microsoft Excel comments are used to provide more details on the values used in th calculations.</t>
    </r>
  </si>
  <si>
    <r>
      <t xml:space="preserve">4. </t>
    </r>
    <r>
      <rPr>
        <sz val="11"/>
        <rFont val="Arial"/>
        <family val="0"/>
      </rPr>
      <t>The "</t>
    </r>
    <r>
      <rPr>
        <b/>
        <sz val="11"/>
        <rFont val="Arial"/>
        <family val="2"/>
      </rPr>
      <t>Table 3 - Average Hourly Costs</t>
    </r>
    <r>
      <rPr>
        <sz val="11"/>
        <rFont val="Arial"/>
        <family val="0"/>
      </rPr>
      <t>" sheet provides a summary/average of the hourly costs determined in the "</t>
    </r>
    <r>
      <rPr>
        <b/>
        <sz val="11"/>
        <rFont val="Arial"/>
        <family val="2"/>
      </rPr>
      <t>Table 2 - Staff Costing Profile</t>
    </r>
    <r>
      <rPr>
        <sz val="11"/>
        <rFont val="Arial"/>
        <family val="0"/>
      </rPr>
      <t>" sheet, but organized by position type and by unit. Both direct and indirect hourly costs are calculated. These averages are used in the table 4 through 7 of the cost model for calculating internal staff costs for various IT systems.</t>
    </r>
  </si>
  <si>
    <r>
      <t>6.</t>
    </r>
    <r>
      <rPr>
        <sz val="11"/>
        <rFont val="Arial"/>
        <family val="0"/>
      </rPr>
      <t xml:space="preserve"> Infrastructure costs which are not directly attributed to target systems are divided into shared network costs, and shared server infrastructure/security costs. Network costs include maintenance fees paid for network switches and routers, the external fees paid to networking service providers, a network switch evergreening fund,  and finally the staff costs for both maintenance/sustenance activities ("Mandatory") and project/enhancement duties ("Discretionary"). Similarly, the server infrastructure and security items include maintenance fees for operating systems, maintenance fees for CPU room infrastructure such as air conditioners and uninterruptible power supplies, server hardware evergreening, electricity for the CPU room, and again mandatory and discretionary staff costs. These infrastructure costs are not attributed to any system, but are viewed as infrastructural for all systems. We have as yet been unable to think of an appropriate way to split those infrastructure costs among the IT systems described in this sheet.</t>
    </r>
  </si>
  <si>
    <t>Organizational Unit 1 - Benefit %</t>
  </si>
  <si>
    <t>Organizational Unit 2 - Benefit %</t>
  </si>
  <si>
    <t>Costict - Information Technology Cost Model</t>
  </si>
  <si>
    <t>Project Management Office</t>
  </si>
  <si>
    <t>CIO assessment</t>
  </si>
  <si>
    <t>Organizational Unit</t>
  </si>
  <si>
    <t>Composite Average</t>
  </si>
  <si>
    <r>
      <t xml:space="preserve">1. </t>
    </r>
    <r>
      <rPr>
        <sz val="11"/>
        <rFont val="Arial"/>
        <family val="0"/>
      </rPr>
      <t>The "</t>
    </r>
    <r>
      <rPr>
        <b/>
        <sz val="11"/>
        <rFont val="Arial"/>
        <family val="2"/>
      </rPr>
      <t>Table 2 - Staff Costing Profile</t>
    </r>
    <r>
      <rPr>
        <sz val="11"/>
        <rFont val="Arial"/>
        <family val="0"/>
      </rPr>
      <t>" sheet contains the actual annual salaries and the estimated annual benefits (according to the bargaining unit) of each staff member. Their actual annual leave days are given in each case.  An average cost for space is provided for each person, depending on the location based on costs provided by our Facilities department (e.g., total space used, likely cost per year per square foot, including janitorial and electricity costs associated with office operations). We did not go to the level of detail of measuring each person's actual office space as the differences were not felt to be material. These values are summed and divided to obtain the direct cost per person per hour.</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</si>
</sst>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0_);[Red]\(#,##0.0\)"/>
    <numFmt numFmtId="171" formatCode="#,##0.0"/>
    <numFmt numFmtId="172" formatCode="&quot;$&quot;#,##0.00"/>
  </numFmts>
  <fonts count="54">
    <font>
      <sz val="10"/>
      <name val="Arial"/>
      <family val="0"/>
    </font>
    <font>
      <b/>
      <sz val="16"/>
      <name val="Arial"/>
      <family val="2"/>
    </font>
    <font>
      <sz val="8"/>
      <name val="Arial"/>
      <family val="0"/>
    </font>
    <font>
      <b/>
      <sz val="12"/>
      <name val="Arial"/>
      <family val="2"/>
    </font>
    <font>
      <sz val="11"/>
      <name val="Arial"/>
      <family val="0"/>
    </font>
    <font>
      <b/>
      <sz val="10"/>
      <name val="Arial"/>
      <family val="2"/>
    </font>
    <font>
      <b/>
      <sz val="11"/>
      <name val="Arial"/>
      <family val="2"/>
    </font>
    <font>
      <sz val="12"/>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11"/>
      <name val="Times New Roman"/>
      <family val="1"/>
    </font>
    <font>
      <sz val="10"/>
      <name val="Tahoma"/>
      <family val="0"/>
    </font>
    <font>
      <sz val="11"/>
      <color indexed="8"/>
      <name val="Arial"/>
      <family val="2"/>
    </font>
    <font>
      <sz val="8"/>
      <name val="Verdana"/>
      <family val="0"/>
    </font>
    <font>
      <sz val="10"/>
      <color indexed="9"/>
      <name val="Arial"/>
      <family val="0"/>
    </font>
    <font>
      <sz val="12"/>
      <color indexed="9"/>
      <name val="Arial"/>
      <family val="0"/>
    </font>
    <font>
      <b/>
      <sz val="12"/>
      <color indexed="10"/>
      <name val="Arial"/>
      <family val="0"/>
    </font>
    <font>
      <b/>
      <sz val="11"/>
      <color indexed="10"/>
      <name val="Arial"/>
      <family val="0"/>
    </font>
    <font>
      <sz val="14"/>
      <color indexed="10"/>
      <name val="Arial"/>
      <family val="0"/>
    </font>
    <font>
      <sz val="14"/>
      <name val="Arial"/>
      <family val="0"/>
    </font>
    <font>
      <sz val="11"/>
      <color indexed="9"/>
      <name val="Arial"/>
      <family val="0"/>
    </font>
    <font>
      <sz val="1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23"/>
        <bgColor indexed="64"/>
      </patternFill>
    </fill>
    <fill>
      <patternFill patternType="solid">
        <fgColor indexed="63"/>
        <bgColor indexed="64"/>
      </patternFill>
    </fill>
    <fill>
      <patternFill patternType="solid">
        <fgColor indexed="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ck">
        <color indexed="23"/>
      </top>
      <bottom style="thick">
        <color indexed="23"/>
      </bottom>
    </border>
    <border>
      <left>
        <color indexed="63"/>
      </left>
      <right style="thin">
        <color indexed="8"/>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style="thick">
        <color indexed="23"/>
      </top>
      <bottom>
        <color indexed="63"/>
      </bottom>
    </border>
    <border>
      <left>
        <color indexed="63"/>
      </left>
      <right>
        <color indexed="63"/>
      </right>
      <top>
        <color indexed="63"/>
      </top>
      <bottom style="thick">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6" fillId="3" borderId="0" applyNumberFormat="0" applyBorder="0" applyAlignment="0" applyProtection="0"/>
    <xf numFmtId="0" fontId="43" fillId="23" borderId="1" applyNumberFormat="0" applyAlignment="0" applyProtection="0"/>
    <xf numFmtId="0" fontId="44"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25"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47" fillId="26" borderId="1" applyNumberFormat="0" applyAlignment="0" applyProtection="0"/>
    <xf numFmtId="0" fontId="48" fillId="0" borderId="6" applyNumberFormat="0" applyFill="0" applyAlignment="0" applyProtection="0"/>
    <xf numFmtId="0" fontId="49" fillId="27" borderId="0" applyNumberFormat="0" applyBorder="0" applyAlignment="0" applyProtection="0"/>
    <xf numFmtId="0" fontId="0" fillId="28" borderId="7" applyNumberFormat="0" applyFont="0" applyAlignment="0" applyProtection="0"/>
    <xf numFmtId="0" fontId="50" fillId="23"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7">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3" fillId="0" borderId="0" xfId="0" applyFont="1" applyAlignment="1">
      <alignment vertical="top" wrapText="1"/>
    </xf>
    <xf numFmtId="0" fontId="4" fillId="0" borderId="0" xfId="0" applyFont="1" applyAlignment="1">
      <alignment/>
    </xf>
    <xf numFmtId="3" fontId="4"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2" fontId="1" fillId="0" borderId="0" xfId="0" applyNumberFormat="1" applyFont="1" applyAlignment="1">
      <alignment/>
    </xf>
    <xf numFmtId="3" fontId="4" fillId="0" borderId="0" xfId="0" applyNumberFormat="1" applyFont="1" applyAlignment="1">
      <alignment horizontal="center"/>
    </xf>
    <xf numFmtId="3" fontId="3" fillId="0" borderId="0" xfId="0" applyNumberFormat="1" applyFont="1" applyAlignment="1">
      <alignment/>
    </xf>
    <xf numFmtId="0" fontId="3" fillId="0" borderId="0" xfId="0" applyFont="1" applyAlignment="1">
      <alignment/>
    </xf>
    <xf numFmtId="2" fontId="6" fillId="0" borderId="0" xfId="0" applyNumberFormat="1" applyFont="1" applyAlignment="1">
      <alignment/>
    </xf>
    <xf numFmtId="2" fontId="5" fillId="0" borderId="0" xfId="0" applyNumberFormat="1" applyFont="1" applyAlignment="1">
      <alignment/>
    </xf>
    <xf numFmtId="2" fontId="3"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49" fontId="3" fillId="0" borderId="0" xfId="0" applyNumberFormat="1" applyFont="1" applyAlignment="1">
      <alignment vertical="top" wrapText="1"/>
    </xf>
    <xf numFmtId="0" fontId="12" fillId="0" borderId="0" xfId="0" applyFont="1" applyAlignment="1">
      <alignment vertical="top" wrapText="1"/>
    </xf>
    <xf numFmtId="0" fontId="12" fillId="0" borderId="0" xfId="0" applyFont="1" applyAlignment="1">
      <alignment/>
    </xf>
    <xf numFmtId="0" fontId="6" fillId="0" borderId="0" xfId="0" applyFont="1" applyAlignment="1">
      <alignment/>
    </xf>
    <xf numFmtId="0" fontId="4" fillId="0" borderId="0" xfId="0" applyFont="1" applyAlignment="1">
      <alignment/>
    </xf>
    <xf numFmtId="3" fontId="4" fillId="0" borderId="0" xfId="0" applyNumberFormat="1" applyFont="1" applyAlignment="1">
      <alignment/>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xf>
    <xf numFmtId="0" fontId="14" fillId="0" borderId="0" xfId="0" applyFont="1" applyAlignment="1">
      <alignment horizontal="center" vertical="center"/>
    </xf>
    <xf numFmtId="3" fontId="4" fillId="0" borderId="0" xfId="0" applyNumberFormat="1" applyFont="1" applyBorder="1" applyAlignment="1">
      <alignment/>
    </xf>
    <xf numFmtId="2" fontId="6" fillId="0" borderId="0" xfId="0" applyNumberFormat="1" applyFont="1" applyBorder="1" applyAlignment="1">
      <alignment/>
    </xf>
    <xf numFmtId="0" fontId="4" fillId="0" borderId="0" xfId="0" applyFont="1" applyBorder="1" applyAlignment="1">
      <alignment/>
    </xf>
    <xf numFmtId="0" fontId="0" fillId="0" borderId="0" xfId="0" applyAlignment="1">
      <alignment/>
    </xf>
    <xf numFmtId="3" fontId="0" fillId="0" borderId="0" xfId="0" applyNumberFormat="1" applyAlignment="1">
      <alignment/>
    </xf>
    <xf numFmtId="0" fontId="4" fillId="3" borderId="0" xfId="0" applyFont="1" applyFill="1" applyAlignment="1">
      <alignment/>
    </xf>
    <xf numFmtId="0" fontId="4" fillId="3" borderId="0" xfId="0" applyFont="1" applyFill="1" applyAlignment="1">
      <alignment/>
    </xf>
    <xf numFmtId="0" fontId="4" fillId="3" borderId="0" xfId="0" applyFont="1" applyFill="1" applyAlignment="1">
      <alignment horizontal="center"/>
    </xf>
    <xf numFmtId="0" fontId="14" fillId="3" borderId="0" xfId="0" applyFont="1" applyFill="1" applyAlignment="1">
      <alignment horizontal="center" vertical="center"/>
    </xf>
    <xf numFmtId="3" fontId="4" fillId="3" borderId="0" xfId="0" applyNumberFormat="1" applyFont="1" applyFill="1" applyAlignment="1">
      <alignment/>
    </xf>
    <xf numFmtId="2" fontId="6" fillId="3" borderId="0" xfId="0" applyNumberFormat="1" applyFont="1" applyFill="1" applyAlignment="1">
      <alignment/>
    </xf>
    <xf numFmtId="0" fontId="4" fillId="3" borderId="0" xfId="0" applyFont="1" applyFill="1" applyAlignment="1">
      <alignment horizontal="center"/>
    </xf>
    <xf numFmtId="3" fontId="0" fillId="3" borderId="0" xfId="0" applyNumberFormat="1" applyFill="1" applyAlignment="1">
      <alignment/>
    </xf>
    <xf numFmtId="0" fontId="0" fillId="29" borderId="0" xfId="0" applyFill="1" applyAlignment="1">
      <alignment horizontal="center"/>
    </xf>
    <xf numFmtId="0" fontId="4" fillId="29" borderId="0" xfId="0" applyFont="1" applyFill="1" applyAlignment="1">
      <alignment horizontal="center"/>
    </xf>
    <xf numFmtId="0" fontId="18" fillId="0" borderId="0" xfId="0" applyFont="1" applyAlignment="1">
      <alignment horizontal="right"/>
    </xf>
    <xf numFmtId="2" fontId="19" fillId="0" borderId="0" xfId="0" applyNumberFormat="1" applyFont="1" applyAlignment="1">
      <alignment/>
    </xf>
    <xf numFmtId="2" fontId="19" fillId="3" borderId="0" xfId="0" applyNumberFormat="1" applyFont="1" applyFill="1" applyAlignment="1">
      <alignment/>
    </xf>
    <xf numFmtId="4" fontId="4" fillId="0" borderId="0" xfId="0" applyNumberFormat="1" applyFont="1" applyBorder="1" applyAlignment="1">
      <alignment horizontal="center"/>
    </xf>
    <xf numFmtId="4" fontId="4" fillId="3" borderId="0" xfId="0" applyNumberFormat="1" applyFont="1" applyFill="1" applyBorder="1" applyAlignment="1">
      <alignment horizontal="center"/>
    </xf>
    <xf numFmtId="0" fontId="4" fillId="0" borderId="0" xfId="0" applyFont="1" applyBorder="1" applyAlignment="1">
      <alignment/>
    </xf>
    <xf numFmtId="0" fontId="4" fillId="3" borderId="0" xfId="0" applyFont="1" applyFill="1" applyBorder="1" applyAlignment="1">
      <alignment/>
    </xf>
    <xf numFmtId="0" fontId="19" fillId="0" borderId="10" xfId="0" applyFont="1" applyBorder="1" applyAlignment="1">
      <alignment/>
    </xf>
    <xf numFmtId="4" fontId="19" fillId="0" borderId="1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0" fontId="0" fillId="0" borderId="0" xfId="0" applyAlignment="1">
      <alignment vertical="center"/>
    </xf>
    <xf numFmtId="3" fontId="19" fillId="3" borderId="0" xfId="0" applyNumberFormat="1" applyFont="1" applyFill="1" applyAlignment="1">
      <alignment/>
    </xf>
    <xf numFmtId="3" fontId="19" fillId="0" borderId="0" xfId="0" applyNumberFormat="1" applyFont="1" applyAlignment="1">
      <alignment/>
    </xf>
    <xf numFmtId="3" fontId="4" fillId="0" borderId="0" xfId="0" applyNumberFormat="1" applyFont="1" applyFill="1" applyAlignment="1">
      <alignment/>
    </xf>
    <xf numFmtId="3" fontId="19" fillId="0" borderId="10" xfId="0" applyNumberFormat="1" applyFont="1" applyBorder="1" applyAlignment="1">
      <alignment/>
    </xf>
    <xf numFmtId="3" fontId="4" fillId="3" borderId="0" xfId="0" applyNumberFormat="1" applyFont="1" applyFill="1" applyAlignment="1">
      <alignment/>
    </xf>
    <xf numFmtId="164" fontId="4" fillId="0" borderId="0" xfId="0" applyNumberFormat="1" applyFont="1" applyAlignment="1">
      <alignment/>
    </xf>
    <xf numFmtId="49" fontId="6" fillId="0" borderId="10" xfId="0" applyNumberFormat="1" applyFont="1" applyBorder="1" applyAlignment="1">
      <alignment horizontal="right"/>
    </xf>
    <xf numFmtId="0" fontId="4" fillId="0" borderId="10" xfId="0" applyFont="1" applyBorder="1" applyAlignment="1">
      <alignment/>
    </xf>
    <xf numFmtId="164" fontId="4" fillId="3" borderId="0" xfId="0" applyNumberFormat="1" applyFont="1" applyFill="1" applyAlignment="1">
      <alignment/>
    </xf>
    <xf numFmtId="49" fontId="17" fillId="30" borderId="0" xfId="0" applyNumberFormat="1" applyFont="1" applyFill="1" applyBorder="1" applyAlignment="1">
      <alignment horizontal="center" vertical="center" wrapText="1"/>
    </xf>
    <xf numFmtId="49" fontId="17" fillId="31" borderId="11" xfId="0" applyNumberFormat="1" applyFont="1" applyFill="1" applyBorder="1" applyAlignment="1">
      <alignment horizontal="center" vertical="center" wrapText="1"/>
    </xf>
    <xf numFmtId="0" fontId="17" fillId="30" borderId="0" xfId="0" applyFont="1" applyFill="1" applyBorder="1" applyAlignment="1">
      <alignment horizontal="center" vertical="center" wrapText="1"/>
    </xf>
    <xf numFmtId="0" fontId="7" fillId="23" borderId="12" xfId="0" applyFont="1" applyFill="1" applyBorder="1" applyAlignment="1">
      <alignment horizontal="center" vertical="center" wrapText="1"/>
    </xf>
    <xf numFmtId="0" fontId="17" fillId="31" borderId="0" xfId="0" applyFont="1" applyFill="1" applyBorder="1" applyAlignment="1">
      <alignment horizontal="center" vertical="center" wrapText="1"/>
    </xf>
    <xf numFmtId="0" fontId="17" fillId="31" borderId="0" xfId="0" applyFont="1" applyFill="1" applyAlignment="1">
      <alignment horizontal="center" vertical="center" wrapText="1"/>
    </xf>
    <xf numFmtId="0" fontId="0" fillId="29" borderId="0" xfId="0" applyFill="1" applyAlignment="1">
      <alignment horizontal="center" vertical="center"/>
    </xf>
    <xf numFmtId="0" fontId="22" fillId="31" borderId="0" xfId="0" applyFont="1" applyFill="1" applyAlignment="1">
      <alignment horizontal="center" vertical="center" wrapText="1"/>
    </xf>
    <xf numFmtId="3" fontId="17" fillId="31" borderId="0" xfId="0" applyNumberFormat="1" applyFont="1" applyFill="1" applyAlignment="1">
      <alignment horizontal="center" vertical="center" wrapText="1"/>
    </xf>
    <xf numFmtId="0" fontId="4" fillId="29" borderId="0" xfId="0" applyFont="1" applyFill="1" applyAlignment="1">
      <alignment horizontal="center" vertical="center"/>
    </xf>
    <xf numFmtId="49" fontId="22" fillId="31" borderId="0" xfId="0" applyNumberFormat="1" applyFont="1" applyFill="1" applyAlignment="1">
      <alignment horizontal="center" vertical="center" wrapText="1"/>
    </xf>
    <xf numFmtId="3" fontId="22" fillId="31" borderId="0" xfId="0" applyNumberFormat="1" applyFont="1" applyFill="1" applyAlignment="1">
      <alignment horizontal="center" vertical="center" wrapText="1"/>
    </xf>
    <xf numFmtId="0" fontId="6" fillId="0" borderId="10" xfId="0" applyFont="1" applyBorder="1" applyAlignment="1">
      <alignment horizontal="right"/>
    </xf>
    <xf numFmtId="0" fontId="4" fillId="0" borderId="10" xfId="0" applyFont="1" applyBorder="1" applyAlignment="1">
      <alignment/>
    </xf>
    <xf numFmtId="3" fontId="4" fillId="0" borderId="10" xfId="0" applyNumberFormat="1" applyFont="1" applyBorder="1" applyAlignment="1">
      <alignment/>
    </xf>
    <xf numFmtId="17" fontId="4" fillId="0" borderId="0" xfId="0" applyNumberFormat="1" applyFont="1" applyAlignment="1">
      <alignment horizontal="center"/>
    </xf>
    <xf numFmtId="0" fontId="23" fillId="23" borderId="12" xfId="0" applyFont="1" applyFill="1" applyBorder="1" applyAlignment="1">
      <alignment horizontal="center" vertical="center" wrapText="1"/>
    </xf>
    <xf numFmtId="0" fontId="7" fillId="23" borderId="13" xfId="0" applyFont="1" applyFill="1" applyBorder="1" applyAlignment="1">
      <alignment horizontal="center" vertical="center" wrapText="1"/>
    </xf>
    <xf numFmtId="3" fontId="7" fillId="23" borderId="12" xfId="0" applyNumberFormat="1" applyFont="1" applyFill="1" applyBorder="1" applyAlignment="1">
      <alignment horizontal="center" vertical="center" wrapText="1"/>
    </xf>
    <xf numFmtId="2" fontId="7" fillId="23" borderId="12" xfId="0" applyNumberFormat="1" applyFont="1" applyFill="1" applyBorder="1" applyAlignment="1">
      <alignment horizontal="center" vertical="center" wrapText="1"/>
    </xf>
    <xf numFmtId="0" fontId="22" fillId="31" borderId="0" xfId="0" applyFont="1" applyFill="1" applyAlignment="1">
      <alignment horizontal="center" vertical="center"/>
    </xf>
    <xf numFmtId="0" fontId="4" fillId="0" borderId="0" xfId="0" applyFont="1" applyAlignment="1">
      <alignment horizontal="left" vertical="top" wrapText="1"/>
    </xf>
    <xf numFmtId="3" fontId="4" fillId="0" borderId="0" xfId="0" applyNumberFormat="1" applyFont="1" applyAlignment="1">
      <alignment horizontal="left" vertical="top" wrapText="1"/>
    </xf>
    <xf numFmtId="0" fontId="4" fillId="3"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3" borderId="0" xfId="0" applyFont="1" applyFill="1" applyAlignment="1">
      <alignment horizontal="left" vertical="top" wrapText="1"/>
    </xf>
    <xf numFmtId="0" fontId="4" fillId="0" borderId="0" xfId="0" applyFont="1" applyAlignment="1">
      <alignment horizontal="left" vertical="top" wrapText="1"/>
    </xf>
    <xf numFmtId="0" fontId="4" fillId="3" borderId="0" xfId="0" applyFont="1" applyFill="1" applyAlignment="1">
      <alignment horizontal="left" vertical="top" wrapText="1"/>
    </xf>
    <xf numFmtId="49" fontId="7" fillId="0" borderId="0" xfId="0" applyNumberFormat="1" applyFont="1" applyAlignment="1">
      <alignment horizontal="right" vertical="center"/>
    </xf>
    <xf numFmtId="0" fontId="4" fillId="0" borderId="0" xfId="0" applyFont="1" applyAlignment="1">
      <alignment horizontal="left"/>
    </xf>
    <xf numFmtId="172" fontId="4" fillId="0" borderId="0" xfId="0" applyNumberFormat="1" applyFont="1" applyAlignment="1">
      <alignment horizontal="center"/>
    </xf>
    <xf numFmtId="0" fontId="20" fillId="0" borderId="0" xfId="0" applyFont="1" applyAlignment="1">
      <alignment/>
    </xf>
    <xf numFmtId="165" fontId="4" fillId="3" borderId="0" xfId="0" applyNumberFormat="1" applyFont="1" applyFill="1" applyBorder="1" applyAlignment="1">
      <alignment horizontal="center" vertical="top" wrapText="1"/>
    </xf>
    <xf numFmtId="165" fontId="4" fillId="0" borderId="0" xfId="0" applyNumberFormat="1" applyFont="1" applyBorder="1" applyAlignment="1">
      <alignment horizontal="center" vertical="top" wrapText="1"/>
    </xf>
    <xf numFmtId="6" fontId="4" fillId="3" borderId="0" xfId="0" applyNumberFormat="1" applyFont="1" applyFill="1" applyBorder="1" applyAlignment="1">
      <alignment horizontal="center" vertical="top" wrapText="1"/>
    </xf>
    <xf numFmtId="9" fontId="4" fillId="3" borderId="0" xfId="0" applyNumberFormat="1" applyFont="1" applyFill="1" applyBorder="1" applyAlignment="1">
      <alignment horizontal="center" vertical="top" wrapText="1"/>
    </xf>
    <xf numFmtId="3" fontId="4" fillId="0" borderId="0" xfId="0" applyNumberFormat="1" applyFont="1" applyBorder="1" applyAlignment="1">
      <alignment horizontal="center" vertical="top" wrapText="1"/>
    </xf>
    <xf numFmtId="6" fontId="4" fillId="0" borderId="0" xfId="0" applyNumberFormat="1" applyFont="1" applyBorder="1" applyAlignment="1">
      <alignment horizontal="center" vertical="top" wrapText="1"/>
    </xf>
    <xf numFmtId="3" fontId="4" fillId="3" borderId="0" xfId="0" applyNumberFormat="1" applyFont="1" applyFill="1" applyBorder="1" applyAlignment="1">
      <alignment horizontal="center" vertical="top" wrapText="1"/>
    </xf>
    <xf numFmtId="170" fontId="4" fillId="3" borderId="0" xfId="0" applyNumberFormat="1" applyFont="1" applyFill="1" applyBorder="1" applyAlignment="1">
      <alignment horizontal="center" vertical="top" wrapText="1"/>
    </xf>
    <xf numFmtId="38" fontId="4" fillId="3" borderId="0" xfId="0" applyNumberFormat="1" applyFont="1" applyFill="1" applyBorder="1" applyAlignment="1">
      <alignment horizontal="center" vertical="top" wrapText="1"/>
    </xf>
    <xf numFmtId="38" fontId="4" fillId="0" borderId="0" xfId="0" applyNumberFormat="1" applyFont="1" applyBorder="1" applyAlignment="1">
      <alignment horizontal="center" vertical="top" wrapText="1"/>
    </xf>
    <xf numFmtId="164" fontId="4" fillId="3" borderId="0" xfId="0" applyNumberFormat="1" applyFont="1" applyFill="1" applyBorder="1" applyAlignment="1">
      <alignment horizontal="center" vertical="top" wrapText="1"/>
    </xf>
    <xf numFmtId="9" fontId="4" fillId="0" borderId="0" xfId="0" applyNumberFormat="1" applyFont="1" applyBorder="1" applyAlignment="1">
      <alignment horizontal="center" vertical="top" wrapText="1"/>
    </xf>
    <xf numFmtId="49" fontId="7" fillId="23" borderId="12" xfId="0" applyNumberFormat="1" applyFont="1" applyFill="1" applyBorder="1" applyAlignment="1">
      <alignment horizontal="center" vertical="center" wrapText="1"/>
    </xf>
    <xf numFmtId="0" fontId="14" fillId="23" borderId="12" xfId="0" applyFont="1" applyFill="1" applyBorder="1" applyAlignment="1">
      <alignment horizontal="center" vertical="center"/>
    </xf>
    <xf numFmtId="49" fontId="4" fillId="23" borderId="13" xfId="0" applyNumberFormat="1" applyFont="1" applyFill="1" applyBorder="1" applyAlignment="1">
      <alignment horizontal="center" vertical="center" wrapText="1"/>
    </xf>
    <xf numFmtId="49" fontId="4" fillId="23" borderId="12" xfId="0" applyNumberFormat="1" applyFont="1" applyFill="1" applyBorder="1" applyAlignment="1">
      <alignment horizontal="center" vertical="center" wrapText="1"/>
    </xf>
    <xf numFmtId="3" fontId="4" fillId="23" borderId="13" xfId="0" applyNumberFormat="1" applyFont="1" applyFill="1" applyBorder="1" applyAlignment="1">
      <alignment horizontal="center" vertical="center" wrapText="1"/>
    </xf>
    <xf numFmtId="3" fontId="4" fillId="23" borderId="12" xfId="0" applyNumberFormat="1" applyFont="1" applyFill="1" applyBorder="1" applyAlignment="1">
      <alignment horizontal="center" vertical="center" wrapText="1"/>
    </xf>
    <xf numFmtId="3" fontId="4" fillId="29" borderId="0" xfId="0" applyNumberFormat="1" applyFont="1" applyFill="1" applyAlignment="1">
      <alignment/>
    </xf>
    <xf numFmtId="0" fontId="0" fillId="29" borderId="0" xfId="0" applyFill="1" applyAlignment="1">
      <alignment/>
    </xf>
    <xf numFmtId="49" fontId="4" fillId="0" borderId="0" xfId="0" applyNumberFormat="1" applyFont="1" applyAlignment="1">
      <alignment horizontal="left" vertical="top" wrapText="1"/>
    </xf>
    <xf numFmtId="165" fontId="4" fillId="0" borderId="0" xfId="0" applyNumberFormat="1" applyFont="1" applyBorder="1" applyAlignment="1" applyProtection="1">
      <alignment horizontal="center" vertical="top" wrapText="1"/>
      <protection/>
    </xf>
    <xf numFmtId="170" fontId="4" fillId="0" borderId="0" xfId="0" applyNumberFormat="1" applyFont="1" applyBorder="1" applyAlignment="1" applyProtection="1">
      <alignment horizontal="center" vertical="top" wrapText="1"/>
      <protection/>
    </xf>
    <xf numFmtId="171" fontId="4" fillId="3" borderId="0" xfId="0" applyNumberFormat="1" applyFont="1" applyFill="1" applyBorder="1" applyAlignment="1" applyProtection="1">
      <alignment horizontal="center" vertical="top" wrapText="1"/>
      <protection/>
    </xf>
    <xf numFmtId="0" fontId="21" fillId="0" borderId="0" xfId="0" applyFont="1" applyAlignment="1">
      <alignment/>
    </xf>
    <xf numFmtId="0" fontId="4" fillId="3" borderId="0" xfId="0" applyFont="1" applyFill="1" applyAlignment="1">
      <alignment/>
    </xf>
    <xf numFmtId="0" fontId="4" fillId="3" borderId="0" xfId="0" applyFont="1" applyFill="1" applyAlignment="1">
      <alignment horizontal="left" vertical="top" wrapText="1"/>
    </xf>
    <xf numFmtId="3" fontId="4" fillId="3" borderId="0" xfId="0" applyNumberFormat="1"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Alignment="1">
      <alignment horizontal="left" vertical="top" wrapText="1"/>
    </xf>
    <xf numFmtId="3" fontId="4" fillId="0" borderId="0" xfId="0" applyNumberFormat="1"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3" fontId="4" fillId="3" borderId="0" xfId="0" applyNumberFormat="1" applyFont="1" applyFill="1" applyAlignment="1">
      <alignment horizontal="left" vertical="top" wrapText="1"/>
    </xf>
    <xf numFmtId="0" fontId="0" fillId="0" borderId="0" xfId="0" applyAlignment="1">
      <alignment wrapText="1"/>
    </xf>
    <xf numFmtId="49" fontId="7" fillId="0" borderId="0" xfId="0" applyNumberFormat="1" applyFont="1" applyAlignment="1">
      <alignment horizontal="right" wrapText="1"/>
    </xf>
    <xf numFmtId="0" fontId="7" fillId="0" borderId="0" xfId="0" applyFont="1" applyAlignment="1">
      <alignment horizontal="right" wrapText="1"/>
    </xf>
    <xf numFmtId="0" fontId="0" fillId="0" borderId="0" xfId="0" applyFont="1" applyAlignment="1">
      <alignment wrapText="1"/>
    </xf>
    <xf numFmtId="0" fontId="0" fillId="32" borderId="0" xfId="0" applyFill="1" applyAlignment="1">
      <alignment wrapText="1"/>
    </xf>
    <xf numFmtId="3" fontId="4" fillId="0" borderId="0" xfId="0" applyNumberFormat="1" applyFont="1" applyAlignment="1">
      <alignment horizontal="left" vertical="top" wrapText="1"/>
    </xf>
    <xf numFmtId="3" fontId="4" fillId="3" borderId="0" xfId="0" applyNumberFormat="1" applyFont="1" applyFill="1" applyAlignment="1">
      <alignment horizontal="left" vertical="top" wrapText="1"/>
    </xf>
    <xf numFmtId="0" fontId="17" fillId="31" borderId="13" xfId="0" applyFont="1" applyFill="1" applyBorder="1" applyAlignment="1">
      <alignment horizontal="center" vertical="center" wrapText="1"/>
    </xf>
    <xf numFmtId="0" fontId="16" fillId="31" borderId="0" xfId="0" applyFont="1" applyFill="1" applyAlignment="1">
      <alignment horizontal="center" vertical="center" wrapText="1"/>
    </xf>
    <xf numFmtId="0" fontId="0" fillId="31" borderId="0" xfId="0" applyFont="1" applyFill="1" applyAlignment="1">
      <alignment horizontal="center" vertical="center" wrapText="1"/>
    </xf>
    <xf numFmtId="0" fontId="0" fillId="0" borderId="0" xfId="0" applyAlignment="1">
      <alignment horizontal="left" wrapText="1" indent="1"/>
    </xf>
    <xf numFmtId="0" fontId="22" fillId="30" borderId="0" xfId="0" applyFont="1" applyFill="1" applyAlignment="1">
      <alignment horizontal="center" vertical="center"/>
    </xf>
    <xf numFmtId="0" fontId="0" fillId="30" borderId="0" xfId="0" applyFill="1" applyAlignment="1">
      <alignment horizontal="center" vertical="center"/>
    </xf>
    <xf numFmtId="0" fontId="0" fillId="0" borderId="0" xfId="0" applyAlignment="1">
      <alignment/>
    </xf>
    <xf numFmtId="6" fontId="4" fillId="3" borderId="0" xfId="0" applyNumberFormat="1" applyFont="1" applyFill="1" applyAlignment="1">
      <alignment horizontal="left" vertical="top" wrapText="1"/>
    </xf>
    <xf numFmtId="3" fontId="4" fillId="0" borderId="0" xfId="0" applyNumberFormat="1" applyFont="1" applyAlignment="1">
      <alignment horizontal="left" vertical="top" wrapText="1"/>
    </xf>
    <xf numFmtId="0" fontId="4" fillId="0" borderId="0" xfId="0" applyFont="1" applyAlignment="1">
      <alignment horizontal="left" wrapText="1" indent="1"/>
    </xf>
    <xf numFmtId="49" fontId="4" fillId="0" borderId="0" xfId="0" applyNumberFormat="1" applyFont="1" applyAlignment="1">
      <alignment horizontal="left" vertical="top" wrapText="1"/>
    </xf>
    <xf numFmtId="49" fontId="0" fillId="0" borderId="0" xfId="0" applyNumberFormat="1" applyAlignment="1">
      <alignment horizontal="left" vertical="top" wrapText="1"/>
    </xf>
    <xf numFmtId="0" fontId="4" fillId="0" borderId="0" xfId="0" applyFont="1" applyAlignment="1">
      <alignment horizontal="left" wrapText="1" indent="1"/>
    </xf>
    <xf numFmtId="0" fontId="21"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xf>
    <xf numFmtId="0" fontId="0" fillId="0" borderId="0" xfId="0" applyAlignment="1">
      <alignment horizontal="center" vertical="center" wrapText="1"/>
    </xf>
    <xf numFmtId="0" fontId="1" fillId="0" borderId="0" xfId="0" applyFont="1" applyAlignment="1">
      <alignment horizontal="center" wrapText="1"/>
    </xf>
    <xf numFmtId="0" fontId="0" fillId="33" borderId="0" xfId="0" applyFill="1" applyAlignment="1">
      <alignment/>
    </xf>
    <xf numFmtId="49" fontId="21" fillId="0" borderId="0" xfId="0" applyNumberFormat="1" applyFont="1" applyAlignment="1">
      <alignment horizontal="right" vertical="center" wrapText="1"/>
    </xf>
    <xf numFmtId="0" fontId="21" fillId="0" borderId="0" xfId="0" applyFont="1" applyAlignment="1">
      <alignment horizontal="right" vertical="center" wrapText="1"/>
    </xf>
    <xf numFmtId="3" fontId="0" fillId="0" borderId="0" xfId="0" applyNumberFormat="1" applyAlignment="1">
      <alignment/>
    </xf>
    <xf numFmtId="0" fontId="4" fillId="0" borderId="0" xfId="0" applyFont="1" applyAlignment="1">
      <alignment horizontal="center"/>
    </xf>
    <xf numFmtId="0" fontId="21"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4" fillId="29" borderId="0" xfId="0" applyFont="1" applyFill="1" applyAlignment="1">
      <alignment/>
    </xf>
    <xf numFmtId="0" fontId="0" fillId="29" borderId="0" xfId="0" applyFill="1" applyAlignment="1">
      <alignment/>
    </xf>
    <xf numFmtId="0" fontId="0" fillId="29" borderId="0" xfId="0" applyFill="1" applyAlignment="1">
      <alignment horizontal="center"/>
    </xf>
    <xf numFmtId="0" fontId="4" fillId="29" borderId="0" xfId="0" applyFont="1" applyFill="1" applyAlignment="1">
      <alignment horizontal="center"/>
    </xf>
    <xf numFmtId="3" fontId="0" fillId="29" borderId="0" xfId="0" applyNumberFormat="1" applyFill="1" applyAlignment="1">
      <alignment/>
    </xf>
    <xf numFmtId="2" fontId="5" fillId="29" borderId="0" xfId="0" applyNumberFormat="1" applyFont="1" applyFill="1" applyAlignment="1">
      <alignment/>
    </xf>
    <xf numFmtId="0" fontId="0" fillId="32" borderId="0" xfId="0" applyFill="1" applyAlignment="1">
      <alignment/>
    </xf>
    <xf numFmtId="0" fontId="0" fillId="32" borderId="0" xfId="0" applyFill="1" applyAlignment="1">
      <alignment horizontal="center"/>
    </xf>
    <xf numFmtId="0" fontId="4" fillId="32" borderId="0" xfId="0" applyFont="1" applyFill="1" applyAlignment="1">
      <alignment horizontal="center"/>
    </xf>
    <xf numFmtId="3" fontId="0" fillId="32" borderId="0" xfId="0" applyNumberFormat="1" applyFill="1" applyAlignment="1">
      <alignment/>
    </xf>
    <xf numFmtId="2" fontId="5" fillId="32" borderId="0" xfId="0" applyNumberFormat="1" applyFont="1" applyFill="1" applyAlignment="1">
      <alignment/>
    </xf>
    <xf numFmtId="2" fontId="5" fillId="0" borderId="0" xfId="0" applyNumberFormat="1" applyFont="1" applyAlignment="1">
      <alignment/>
    </xf>
    <xf numFmtId="3" fontId="17" fillId="30" borderId="0" xfId="0" applyNumberFormat="1" applyFont="1" applyFill="1" applyAlignment="1">
      <alignment horizontal="center"/>
    </xf>
    <xf numFmtId="0" fontId="17" fillId="30" borderId="0" xfId="0" applyFont="1" applyFill="1" applyAlignment="1">
      <alignment horizontal="center"/>
    </xf>
    <xf numFmtId="0" fontId="0" fillId="30" borderId="0" xfId="0" applyFill="1" applyAlignment="1">
      <alignment/>
    </xf>
    <xf numFmtId="0" fontId="0" fillId="30" borderId="0" xfId="0" applyFill="1" applyAlignment="1">
      <alignment horizontal="center"/>
    </xf>
    <xf numFmtId="0" fontId="0" fillId="0" borderId="0" xfId="0" applyAlignment="1">
      <alignment horizontal="center"/>
    </xf>
    <xf numFmtId="0" fontId="0" fillId="0" borderId="14" xfId="0" applyBorder="1" applyAlignment="1">
      <alignment/>
    </xf>
    <xf numFmtId="0" fontId="0" fillId="0" borderId="0" xfId="0" applyBorder="1" applyAlignment="1">
      <alignment/>
    </xf>
    <xf numFmtId="0" fontId="0" fillId="0" borderId="0" xfId="0" applyFont="1" applyAlignment="1">
      <alignment vertical="center"/>
    </xf>
    <xf numFmtId="49" fontId="1" fillId="33" borderId="0" xfId="0" applyNumberFormat="1" applyFont="1" applyFill="1" applyAlignment="1">
      <alignment/>
    </xf>
    <xf numFmtId="0" fontId="4" fillId="0" borderId="0" xfId="0" applyFont="1" applyAlignment="1">
      <alignment/>
    </xf>
    <xf numFmtId="3" fontId="4" fillId="0" borderId="0" xfId="0" applyNumberFormat="1" applyFont="1" applyAlignment="1">
      <alignment horizontal="left" indent="1"/>
    </xf>
    <xf numFmtId="0" fontId="4" fillId="0" borderId="0" xfId="0" applyFont="1" applyAlignment="1">
      <alignment horizontal="left" indent="1"/>
    </xf>
    <xf numFmtId="0" fontId="16" fillId="30" borderId="0" xfId="0" applyFont="1" applyFill="1" applyAlignment="1">
      <alignment horizontal="center" vertical="center"/>
    </xf>
    <xf numFmtId="3" fontId="0" fillId="30" borderId="0" xfId="0" applyNumberFormat="1" applyFill="1" applyAlignment="1">
      <alignment horizontal="center" vertical="center"/>
    </xf>
    <xf numFmtId="0" fontId="6" fillId="0" borderId="10" xfId="0" applyFont="1" applyBorder="1" applyAlignment="1">
      <alignment horizontal="right"/>
    </xf>
    <xf numFmtId="0" fontId="4" fillId="0" borderId="10" xfId="0" applyFont="1" applyBorder="1" applyAlignment="1">
      <alignment horizontal="right"/>
    </xf>
    <xf numFmtId="3" fontId="22" fillId="31" borderId="0" xfId="0" applyNumberFormat="1" applyFont="1" applyFill="1" applyAlignment="1">
      <alignment horizontal="center" vertical="center"/>
    </xf>
    <xf numFmtId="0" fontId="4" fillId="31" borderId="0" xfId="0" applyFont="1" applyFill="1" applyAlignment="1">
      <alignment horizontal="center" vertical="center"/>
    </xf>
    <xf numFmtId="3" fontId="4" fillId="31" borderId="0" xfId="0" applyNumberFormat="1" applyFont="1" applyFill="1" applyAlignment="1">
      <alignment horizontal="center" vertical="center"/>
    </xf>
    <xf numFmtId="49" fontId="21" fillId="0" borderId="0" xfId="0" applyNumberFormat="1" applyFont="1" applyAlignment="1">
      <alignment horizontal="right" vertical="center"/>
    </xf>
    <xf numFmtId="0" fontId="4" fillId="0" borderId="15" xfId="0" applyFont="1" applyBorder="1" applyAlignment="1">
      <alignment/>
    </xf>
    <xf numFmtId="0" fontId="0" fillId="0" borderId="15" xfId="0" applyBorder="1" applyAlignment="1">
      <alignment/>
    </xf>
    <xf numFmtId="49" fontId="5" fillId="0" borderId="14" xfId="0" applyNumberFormat="1" applyFont="1" applyBorder="1" applyAlignment="1">
      <alignment horizontal="left" indent="5"/>
    </xf>
    <xf numFmtId="0" fontId="4" fillId="0" borderId="0" xfId="0" applyFont="1" applyAlignment="1">
      <alignment/>
    </xf>
    <xf numFmtId="49" fontId="1" fillId="33" borderId="0" xfId="0" applyNumberFormat="1" applyFont="1" applyFill="1" applyAlignment="1">
      <alignment/>
    </xf>
    <xf numFmtId="3" fontId="4" fillId="23" borderId="13" xfId="0" applyNumberFormat="1" applyFont="1" applyFill="1" applyBorder="1" applyAlignment="1">
      <alignment horizontal="center" vertical="center" wrapText="1"/>
    </xf>
    <xf numFmtId="3" fontId="19" fillId="3" borderId="0" xfId="0" applyNumberFormat="1" applyFont="1" applyFill="1" applyAlignment="1">
      <alignment/>
    </xf>
    <xf numFmtId="0" fontId="4" fillId="0" borderId="15" xfId="0" applyFont="1" applyBorder="1" applyAlignment="1">
      <alignment/>
    </xf>
    <xf numFmtId="0" fontId="0" fillId="0" borderId="10" xfId="0" applyBorder="1" applyAlignment="1">
      <alignment/>
    </xf>
    <xf numFmtId="3" fontId="1" fillId="0" borderId="0" xfId="0" applyNumberFormat="1" applyFont="1" applyAlignment="1">
      <alignment/>
    </xf>
    <xf numFmtId="0" fontId="6"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6" fillId="3" borderId="0" xfId="0" applyFont="1" applyFill="1" applyAlignment="1">
      <alignment vertical="top" wrapText="1"/>
    </xf>
    <xf numFmtId="0" fontId="4" fillId="3" borderId="0" xfId="0" applyFont="1" applyFill="1" applyAlignment="1">
      <alignment vertical="top" wrapText="1"/>
    </xf>
    <xf numFmtId="0" fontId="6" fillId="3" borderId="0" xfId="0" applyFont="1" applyFill="1" applyAlignment="1">
      <alignment horizontal="left" vertical="top" wrapText="1"/>
    </xf>
    <xf numFmtId="0" fontId="4" fillId="3" borderId="0" xfId="0" applyFont="1" applyFill="1" applyAlignment="1">
      <alignment horizontal="left" vertical="top"/>
    </xf>
    <xf numFmtId="0" fontId="4" fillId="3" borderId="0" xfId="0" applyFont="1" applyFill="1" applyAlignment="1">
      <alignment/>
    </xf>
    <xf numFmtId="0" fontId="4" fillId="3" borderId="0" xfId="0" applyFont="1" applyFill="1" applyAlignment="1">
      <alignment vertical="top"/>
    </xf>
    <xf numFmtId="0" fontId="12" fillId="33" borderId="0" xfId="0" applyFont="1" applyFill="1" applyAlignment="1">
      <alignment vertical="top" wrapText="1"/>
    </xf>
    <xf numFmtId="0" fontId="17" fillId="30" borderId="0" xfId="0" applyFont="1" applyFill="1" applyAlignment="1">
      <alignment horizontal="center" vertical="center"/>
    </xf>
    <xf numFmtId="0" fontId="7" fillId="30" borderId="0" xfId="0" applyFont="1" applyFill="1" applyAlignment="1">
      <alignment horizontal="center" vertical="center"/>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647424"/>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3E5E4"/>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723900</xdr:colOff>
      <xdr:row>0</xdr:row>
      <xdr:rowOff>342900</xdr:rowOff>
    </xdr:to>
    <xdr:pic>
      <xdr:nvPicPr>
        <xdr:cNvPr id="1" name="Picture 1" descr="auit_place.jpg"/>
        <xdr:cNvPicPr preferRelativeResize="1">
          <a:picLocks noChangeAspect="1"/>
        </xdr:cNvPicPr>
      </xdr:nvPicPr>
      <xdr:blipFill>
        <a:blip r:embed="rId1"/>
        <a:stretch>
          <a:fillRect/>
        </a:stretch>
      </xdr:blipFill>
      <xdr:spPr>
        <a:xfrm>
          <a:off x="0" y="0"/>
          <a:ext cx="723900" cy="342900"/>
        </a:xfrm>
        <a:prstGeom prst="rect">
          <a:avLst/>
        </a:prstGeom>
        <a:noFill/>
        <a:ln w="9525" cmpd="sng">
          <a:noFill/>
        </a:ln>
      </xdr:spPr>
    </xdr:pic>
    <xdr:clientData/>
  </xdr:twoCellAnchor>
  <xdr:twoCellAnchor editAs="oneCell">
    <xdr:from>
      <xdr:col>5</xdr:col>
      <xdr:colOff>419100</xdr:colOff>
      <xdr:row>0</xdr:row>
      <xdr:rowOff>123825</xdr:rowOff>
    </xdr:from>
    <xdr:to>
      <xdr:col>8</xdr:col>
      <xdr:colOff>752475</xdr:colOff>
      <xdr:row>0</xdr:row>
      <xdr:rowOff>390525</xdr:rowOff>
    </xdr:to>
    <xdr:pic>
      <xdr:nvPicPr>
        <xdr:cNvPr id="2" name="Picture 2" descr="au_logomark.jpg"/>
        <xdr:cNvPicPr preferRelativeResize="1">
          <a:picLocks noChangeAspect="1"/>
        </xdr:cNvPicPr>
      </xdr:nvPicPr>
      <xdr:blipFill>
        <a:blip r:embed="rId2"/>
        <a:stretch>
          <a:fillRect/>
        </a:stretch>
      </xdr:blipFill>
      <xdr:spPr>
        <a:xfrm>
          <a:off x="5457825" y="123825"/>
          <a:ext cx="26193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1009650</xdr:colOff>
      <xdr:row>0</xdr:row>
      <xdr:rowOff>485775</xdr:rowOff>
    </xdr:to>
    <xdr:pic>
      <xdr:nvPicPr>
        <xdr:cNvPr id="1" name="Picture 1" descr="auit_place.jpg"/>
        <xdr:cNvPicPr preferRelativeResize="1">
          <a:picLocks noChangeAspect="1"/>
        </xdr:cNvPicPr>
      </xdr:nvPicPr>
      <xdr:blipFill>
        <a:blip r:embed="rId1"/>
        <a:stretch>
          <a:fillRect/>
        </a:stretch>
      </xdr:blipFill>
      <xdr:spPr>
        <a:xfrm>
          <a:off x="0" y="0"/>
          <a:ext cx="1009650" cy="485775"/>
        </a:xfrm>
        <a:prstGeom prst="rect">
          <a:avLst/>
        </a:prstGeom>
        <a:noFill/>
        <a:ln w="9525" cmpd="sng">
          <a:noFill/>
        </a:ln>
      </xdr:spPr>
    </xdr:pic>
    <xdr:clientData/>
  </xdr:twoCellAnchor>
  <xdr:twoCellAnchor editAs="oneCell">
    <xdr:from>
      <xdr:col>15</xdr:col>
      <xdr:colOff>723900</xdr:colOff>
      <xdr:row>0</xdr:row>
      <xdr:rowOff>38100</xdr:rowOff>
    </xdr:from>
    <xdr:to>
      <xdr:col>19</xdr:col>
      <xdr:colOff>704850</xdr:colOff>
      <xdr:row>0</xdr:row>
      <xdr:rowOff>333375</xdr:rowOff>
    </xdr:to>
    <xdr:pic>
      <xdr:nvPicPr>
        <xdr:cNvPr id="2" name="Picture 2" descr="au_logomark.jpg"/>
        <xdr:cNvPicPr preferRelativeResize="1">
          <a:picLocks noChangeAspect="1"/>
        </xdr:cNvPicPr>
      </xdr:nvPicPr>
      <xdr:blipFill>
        <a:blip r:embed="rId2"/>
        <a:stretch>
          <a:fillRect/>
        </a:stretch>
      </xdr:blipFill>
      <xdr:spPr>
        <a:xfrm>
          <a:off x="16935450" y="38100"/>
          <a:ext cx="263842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676275</xdr:colOff>
      <xdr:row>0</xdr:row>
      <xdr:rowOff>304800</xdr:rowOff>
    </xdr:to>
    <xdr:pic>
      <xdr:nvPicPr>
        <xdr:cNvPr id="1" name="Picture 2" descr="auit_place.jpg"/>
        <xdr:cNvPicPr preferRelativeResize="1">
          <a:picLocks noChangeAspect="1"/>
        </xdr:cNvPicPr>
      </xdr:nvPicPr>
      <xdr:blipFill>
        <a:blip r:embed="rId1"/>
        <a:stretch>
          <a:fillRect/>
        </a:stretch>
      </xdr:blipFill>
      <xdr:spPr>
        <a:xfrm>
          <a:off x="0" y="0"/>
          <a:ext cx="676275" cy="304800"/>
        </a:xfrm>
        <a:prstGeom prst="rect">
          <a:avLst/>
        </a:prstGeom>
        <a:noFill/>
        <a:ln w="9525" cmpd="sng">
          <a:noFill/>
        </a:ln>
      </xdr:spPr>
    </xdr:pic>
    <xdr:clientData/>
  </xdr:twoCellAnchor>
  <xdr:twoCellAnchor editAs="oneCell">
    <xdr:from>
      <xdr:col>1</xdr:col>
      <xdr:colOff>552450</xdr:colOff>
      <xdr:row>0</xdr:row>
      <xdr:rowOff>38100</xdr:rowOff>
    </xdr:from>
    <xdr:to>
      <xdr:col>2</xdr:col>
      <xdr:colOff>1466850</xdr:colOff>
      <xdr:row>0</xdr:row>
      <xdr:rowOff>285750</xdr:rowOff>
    </xdr:to>
    <xdr:pic>
      <xdr:nvPicPr>
        <xdr:cNvPr id="2" name="Picture 1" descr="au_logomark.jpg"/>
        <xdr:cNvPicPr preferRelativeResize="1">
          <a:picLocks noChangeAspect="1"/>
        </xdr:cNvPicPr>
      </xdr:nvPicPr>
      <xdr:blipFill>
        <a:blip r:embed="rId2"/>
        <a:stretch>
          <a:fillRect/>
        </a:stretch>
      </xdr:blipFill>
      <xdr:spPr>
        <a:xfrm>
          <a:off x="2905125" y="38100"/>
          <a:ext cx="22669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742950</xdr:colOff>
      <xdr:row>0</xdr:row>
      <xdr:rowOff>352425</xdr:rowOff>
    </xdr:to>
    <xdr:pic>
      <xdr:nvPicPr>
        <xdr:cNvPr id="1" name="Picture 1" descr="auit_place.jpg"/>
        <xdr:cNvPicPr preferRelativeResize="1">
          <a:picLocks noChangeAspect="1"/>
        </xdr:cNvPicPr>
      </xdr:nvPicPr>
      <xdr:blipFill>
        <a:blip r:embed="rId1"/>
        <a:stretch>
          <a:fillRect/>
        </a:stretch>
      </xdr:blipFill>
      <xdr:spPr>
        <a:xfrm>
          <a:off x="0" y="0"/>
          <a:ext cx="742950" cy="352425"/>
        </a:xfrm>
        <a:prstGeom prst="rect">
          <a:avLst/>
        </a:prstGeom>
        <a:noFill/>
        <a:ln w="9525" cmpd="sng">
          <a:noFill/>
        </a:ln>
      </xdr:spPr>
    </xdr:pic>
    <xdr:clientData/>
  </xdr:twoCellAnchor>
  <xdr:twoCellAnchor editAs="oneCell">
    <xdr:from>
      <xdr:col>7</xdr:col>
      <xdr:colOff>161925</xdr:colOff>
      <xdr:row>0</xdr:row>
      <xdr:rowOff>85725</xdr:rowOff>
    </xdr:from>
    <xdr:to>
      <xdr:col>10</xdr:col>
      <xdr:colOff>390525</xdr:colOff>
      <xdr:row>0</xdr:row>
      <xdr:rowOff>371475</xdr:rowOff>
    </xdr:to>
    <xdr:pic>
      <xdr:nvPicPr>
        <xdr:cNvPr id="2" name="Picture 2" descr="au_logomark.jpg"/>
        <xdr:cNvPicPr preferRelativeResize="1">
          <a:picLocks noChangeAspect="1"/>
        </xdr:cNvPicPr>
      </xdr:nvPicPr>
      <xdr:blipFill>
        <a:blip r:embed="rId2"/>
        <a:stretch>
          <a:fillRect/>
        </a:stretch>
      </xdr:blipFill>
      <xdr:spPr>
        <a:xfrm>
          <a:off x="7486650" y="85725"/>
          <a:ext cx="251460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914400</xdr:colOff>
      <xdr:row>0</xdr:row>
      <xdr:rowOff>428625</xdr:rowOff>
    </xdr:to>
    <xdr:pic>
      <xdr:nvPicPr>
        <xdr:cNvPr id="1" name="Picture 1" descr="auit_place.jpg"/>
        <xdr:cNvPicPr preferRelativeResize="1">
          <a:picLocks noChangeAspect="1"/>
        </xdr:cNvPicPr>
      </xdr:nvPicPr>
      <xdr:blipFill>
        <a:blip r:embed="rId1"/>
        <a:stretch>
          <a:fillRect/>
        </a:stretch>
      </xdr:blipFill>
      <xdr:spPr>
        <a:xfrm>
          <a:off x="0" y="0"/>
          <a:ext cx="914400" cy="428625"/>
        </a:xfrm>
        <a:prstGeom prst="rect">
          <a:avLst/>
        </a:prstGeom>
        <a:noFill/>
        <a:ln w="9525" cmpd="sng">
          <a:noFill/>
        </a:ln>
      </xdr:spPr>
    </xdr:pic>
    <xdr:clientData/>
  </xdr:twoCellAnchor>
  <xdr:twoCellAnchor editAs="oneCell">
    <xdr:from>
      <xdr:col>0</xdr:col>
      <xdr:colOff>1952625</xdr:colOff>
      <xdr:row>0</xdr:row>
      <xdr:rowOff>104775</xdr:rowOff>
    </xdr:from>
    <xdr:to>
      <xdr:col>12</xdr:col>
      <xdr:colOff>0</xdr:colOff>
      <xdr:row>0</xdr:row>
      <xdr:rowOff>485775</xdr:rowOff>
    </xdr:to>
    <xdr:pic>
      <xdr:nvPicPr>
        <xdr:cNvPr id="2" name="Picture 2" descr="au_logomark.jpg"/>
        <xdr:cNvPicPr preferRelativeResize="1">
          <a:picLocks noChangeAspect="1"/>
        </xdr:cNvPicPr>
      </xdr:nvPicPr>
      <xdr:blipFill>
        <a:blip r:embed="rId2"/>
        <a:stretch>
          <a:fillRect/>
        </a:stretch>
      </xdr:blipFill>
      <xdr:spPr>
        <a:xfrm>
          <a:off x="1952625" y="104775"/>
          <a:ext cx="3724275" cy="3810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7:T85" sheet="Table 2 - Staff Costing Profile"/>
  </cacheSource>
  <cacheFields count="15">
    <cacheField name="Job Grouping for Average Hourly Costs Tab/Sheet">
      <sharedItems containsBlank="1" containsMixedTypes="0" count="14">
        <m/>
        <s v="Unit Manager"/>
        <s v="Tester/Trainer"/>
        <s v="Project Manager"/>
        <s v="Help Desk Analyst"/>
        <s v="Microcomputer Support"/>
        <s v="Systems Analyst/Programmer"/>
        <s v="Network/Telecomm Support"/>
        <s v="Senior Systems Administrator"/>
        <s v="Junior Systems Administrator"/>
        <s v="Intermediate Systems Administrator"/>
        <s v="Programmer/Analyst"/>
        <s v="Database Analyst"/>
        <s v="Senior Systems Analyst"/>
      </sharedItems>
    </cacheField>
    <cacheField name="Location">
      <sharedItems containsMixedTypes="1" containsNumber="1" containsInteger="1"/>
    </cacheField>
    <cacheField name="Bargaining Unit">
      <sharedItems containsMixedTypes="1" containsNumber="1" containsInteger="1"/>
    </cacheField>
    <cacheField name="Rank">
      <sharedItems containsMixedTypes="0"/>
    </cacheField>
    <cacheField name="Salary">
      <sharedItems containsMixedTypes="1" containsNumber="1" containsInteger="1"/>
    </cacheField>
    <cacheField name="Benefits">
      <sharedItems containsMixedTypes="1" containsNumber="1"/>
    </cacheField>
    <cacheField name="Leave Days">
      <sharedItems containsMixedTypes="1" containsNumber="1" containsInteger="1"/>
    </cacheField>
    <cacheField name="Space">
      <sharedItems containsMixedTypes="1" containsNumber="1"/>
    </cacheField>
    <cacheField name="Per Hour Cost">
      <sharedItems containsString="0" containsBlank="1" containsMixedTypes="0" containsNumber="1" count="64">
        <m/>
        <n v="107.77478108759031"/>
        <n v="38.80821581693902"/>
        <n v="57.733257833745746"/>
        <n v="57.25051188348941"/>
        <n v="43.74182325991622"/>
        <n v="59.08397324802937"/>
        <n v="56.235093845306395"/>
        <n v="75.94921821789941"/>
        <n v="79.75941209637494"/>
        <n v="41.12587157614369"/>
        <n v="33.341959171675725"/>
        <n v="53.00717814286966"/>
        <n v="33.05735011817778"/>
        <n v="48.632809657277996"/>
        <n v="32.47288509760165"/>
        <n v="32.61509005373105"/>
        <n v="50.961916343075146"/>
        <n v="76.26655261310873"/>
        <n v="74.53137404168017"/>
        <n v="71.08193954273439"/>
        <n v="55.256275790535994"/>
        <n v="49.534488325942625"/>
        <n v="42.5819613151383"/>
        <n v="37.253693520807964"/>
        <n v="35.88747645951036"/>
        <n v="52.964540849914684"/>
        <n v="75.44706224556973"/>
        <n v="51.57833387554899"/>
        <n v="45.88145652617308"/>
        <n v="44.23914612052935"/>
        <n v="48.17159516867972"/>
        <n v="70.75514388295001"/>
        <n v="65.01109121199501"/>
        <n v="80.90428404034205"/>
        <n v="78.28238594644208"/>
        <n v="55.01966922384491"/>
        <n v="67.02121531152143"/>
        <n v="53.99780191646551"/>
        <n v="54.06582034964523"/>
        <n v="65.05484602443127"/>
        <n v="61.60776900007314"/>
        <n v="49.34402805968681"/>
        <n v="88.3546328309996"/>
        <n v="68.7783581686643"/>
        <n v="72.10768107374616"/>
        <n v="62.84019822982956"/>
        <n v="65.31206848612462"/>
        <n v="62.856364418051626"/>
        <n v="93.27615064084934"/>
        <n v="44.39819394424436"/>
        <n v="49.950174736561294"/>
        <n v="41.83554474851165"/>
        <n v="53.117372943061014"/>
        <n v="70.25984697236368"/>
        <n v="51.5434160330799"/>
        <n v="52.39097905828998"/>
        <n v="80.17469077568134"/>
        <n v="53.44147962542489"/>
        <n v="66.80389144905274"/>
        <n v="68.60233121205471"/>
        <n v="51.17584668275912"/>
        <n v="94.61504275531128"/>
        <n v="68.4614072093617"/>
      </sharedItems>
    </cacheField>
    <cacheField name="CIO Levy">
      <sharedItems containsMixedTypes="1" containsNumber="1"/>
    </cacheField>
    <cacheField name="Overhead">
      <sharedItems containsMixedTypes="1" containsNumber="1"/>
    </cacheField>
    <cacheField name="Super Levy">
      <sharedItems containsMixedTypes="1" containsNumber="1"/>
    </cacheField>
    <cacheField name="Manage Levy">
      <sharedItems containsMixedTypes="1" containsNumber="1"/>
    </cacheField>
    <cacheField name="Admin Costs">
      <sharedItems containsMixedTypes="1" containsNumber="1"/>
    </cacheField>
    <cacheField name="Per Hour Cost2">
      <sharedItems containsString="0" containsBlank="1" containsMixedTypes="0" containsNumber="1" count="67">
        <m/>
        <n v="111.41974168831341"/>
        <n v="42.330656733604194"/>
        <n v="61.25569875041092"/>
        <n v="67.02099217787004"/>
        <n v="52.6502023518515"/>
        <n v="68.89968724747658"/>
        <n v="66.00557413968703"/>
        <n v="84.8575973098347"/>
        <n v="85.97945101901243"/>
        <n v="48.546049299041144"/>
        <n v="40.762136894573175"/>
        <n v="60.7458184289816"/>
        <n v="40.477527841075236"/>
        <n v="56.37144994338994"/>
        <n v="39.893062820499104"/>
        <n v="40.065929668045435"/>
        <n v="57.66095376424087"/>
        <n v="84.61425255136838"/>
        <n v="82.8790739799398"/>
        <n v="79.70922751720369"/>
        <n v="63.92504111103639"/>
        <n v="57.11055213545558"/>
        <n v="50.15802512465125"/>
        <n v="44.861723844285095"/>
        <n v="43.52774419961239"/>
        <n v="61.27377212486437"/>
        <n v="81.52378229902202"/>
        <n v="60.72772325444753"/>
        <n v="54.65432782363546"/>
        <n v="53.01201741799173"/>
        <n v="57.12877048499635"/>
        <n v="58.36632831063417"/>
        <n v="80.62462409259518"/>
        <n v="74.8350899460197"/>
        <n v="62.156567521768196"/>
        <n v="91.10432100342031"/>
        <n v="84.38723896310479"/>
        <n v="66.35873715654107"/>
        <n v="78.41277892909119"/>
        <n v="65.33686984916167"/>
        <n v="65.40488828234139"/>
        <n v="76.39391395712744"/>
        <n v="72.9468369327693"/>
        <n v="59.72621262253519"/>
        <n v="94.54546969296743"/>
        <n v="83.16911594723177"/>
        <n v="86.43212199619123"/>
        <n v="77.16463915227462"/>
        <n v="79.70282626469209"/>
        <n v="77.18080534049668"/>
        <n v="99.49618956348681"/>
        <n v="55.59676445773761"/>
        <n v="61.148745250054546"/>
        <n v="53.0341152620049"/>
        <n v="65.343335246783"/>
        <n v="82.54215011619497"/>
        <n v="62.74198654657315"/>
        <n v="63.58954957178323"/>
        <n v="86.39472969831883"/>
        <n v="78.70517568947014"/>
        <n v="67.09180929046376"/>
        <n v="80.4542211140916"/>
        <n v="82.25266087709358"/>
        <n v="64.82617634779798"/>
        <n v="100.92436453329762"/>
        <n v="83.22594358934461"/>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C7:T85" sheet="Table 2 - Staff Costing Profile"/>
  </cacheSource>
  <cacheFields count="16">
    <cacheField name="Unit">
      <sharedItems containsBlank="1" containsMixedTypes="0" count="13">
        <m/>
        <s v="Admin"/>
        <s v="PMO"/>
        <s v="Info Technology Systems (ITS)"/>
        <s v="ITS Help Desk"/>
        <s v="ITS PC Support"/>
        <s v="ITSIM Telecom &amp; Networking"/>
        <s v="ITSIM Client &amp; Operational Services"/>
        <s v="Administrative Systems"/>
        <s v="Database Services"/>
        <s v="Learning &amp; Research Web Services"/>
        <s v="Administrative Web Services"/>
        <s v="Identity &amp; Access Management"/>
      </sharedItems>
    </cacheField>
    <cacheField name="Job Grouping">
      <sharedItems containsMixedTypes="0"/>
    </cacheField>
    <cacheField name="Location">
      <sharedItems containsMixedTypes="1" containsNumber="1" containsInteger="1"/>
    </cacheField>
    <cacheField name="Bargaining Unit">
      <sharedItems containsMixedTypes="1" containsNumber="1" containsInteger="1"/>
    </cacheField>
    <cacheField name="Rank">
      <sharedItems containsMixedTypes="0"/>
    </cacheField>
    <cacheField name="Salary">
      <sharedItems containsMixedTypes="1" containsNumber="1" containsInteger="1"/>
    </cacheField>
    <cacheField name="Benefits">
      <sharedItems containsMixedTypes="1" containsNumber="1"/>
    </cacheField>
    <cacheField name="Leave Days">
      <sharedItems containsMixedTypes="1" containsNumber="1" containsInteger="1"/>
    </cacheField>
    <cacheField name="Space">
      <sharedItems containsMixedTypes="1" containsNumber="1"/>
    </cacheField>
    <cacheField name="Per Hour Cost">
      <sharedItems containsString="0" containsBlank="1" containsMixedTypes="0" containsNumber="1" count="64">
        <m/>
        <n v="107.77478108759031"/>
        <n v="38.80821581693902"/>
        <n v="57.733257833745746"/>
        <n v="57.25051188348941"/>
        <n v="43.74182325991622"/>
        <n v="59.08397324802937"/>
        <n v="56.235093845306395"/>
        <n v="75.94921821789941"/>
        <n v="79.75941209637494"/>
        <n v="41.12587157614369"/>
        <n v="33.341959171675725"/>
        <n v="53.00717814286966"/>
        <n v="33.05735011817778"/>
        <n v="48.632809657277996"/>
        <n v="32.47288509760165"/>
        <n v="32.61509005373105"/>
        <n v="50.961916343075146"/>
        <n v="76.26655261310873"/>
        <n v="74.53137404168017"/>
        <n v="71.08193954273439"/>
        <n v="55.256275790535994"/>
        <n v="49.534488325942625"/>
        <n v="42.5819613151383"/>
        <n v="37.253693520807964"/>
        <n v="35.88747645951036"/>
        <n v="52.964540849914684"/>
        <n v="75.44706224556973"/>
        <n v="51.57833387554899"/>
        <n v="45.88145652617308"/>
        <n v="44.23914612052935"/>
        <n v="48.17159516867972"/>
        <n v="70.75514388295001"/>
        <n v="65.01109121199501"/>
        <n v="80.90428404034205"/>
        <n v="78.28238594644208"/>
        <n v="55.01966922384491"/>
        <n v="67.02121531152143"/>
        <n v="53.99780191646551"/>
        <n v="54.06582034964523"/>
        <n v="65.05484602443127"/>
        <n v="61.60776900007314"/>
        <n v="49.34402805968681"/>
        <n v="88.3546328309996"/>
        <n v="68.7783581686643"/>
        <n v="72.10768107374616"/>
        <n v="62.84019822982956"/>
        <n v="65.31206848612462"/>
        <n v="62.856364418051626"/>
        <n v="93.27615064084934"/>
        <n v="44.39819394424436"/>
        <n v="49.950174736561294"/>
        <n v="41.83554474851165"/>
        <n v="53.117372943061014"/>
        <n v="70.25984697236368"/>
        <n v="51.5434160330799"/>
        <n v="52.39097905828998"/>
        <n v="80.17469077568134"/>
        <n v="53.44147962542489"/>
        <n v="66.80389144905274"/>
        <n v="68.60233121205471"/>
        <n v="51.17584668275912"/>
        <n v="94.61504275531128"/>
        <n v="68.4614072093617"/>
      </sharedItems>
    </cacheField>
    <cacheField name="CIO Levy">
      <sharedItems containsMixedTypes="1" containsNumber="1"/>
    </cacheField>
    <cacheField name="Overhead">
      <sharedItems containsMixedTypes="1" containsNumber="1"/>
    </cacheField>
    <cacheField name="Super Levy">
      <sharedItems containsMixedTypes="1" containsNumber="1"/>
    </cacheField>
    <cacheField name="Manage Levy">
      <sharedItems containsMixedTypes="1" containsNumber="1"/>
    </cacheField>
    <cacheField name="Admin Costs">
      <sharedItems containsMixedTypes="1" containsNumber="1"/>
    </cacheField>
    <cacheField name="Per Hour Cost2">
      <sharedItems containsString="0" containsBlank="1" containsMixedTypes="0" containsNumber="1" count="67">
        <m/>
        <n v="111.41974168831341"/>
        <n v="42.330656733604194"/>
        <n v="61.25569875041092"/>
        <n v="67.02099217787004"/>
        <n v="52.6502023518515"/>
        <n v="68.89968724747658"/>
        <n v="66.00557413968703"/>
        <n v="84.8575973098347"/>
        <n v="85.97945101901243"/>
        <n v="48.546049299041144"/>
        <n v="40.762136894573175"/>
        <n v="60.7458184289816"/>
        <n v="40.477527841075236"/>
        <n v="56.37144994338994"/>
        <n v="39.893062820499104"/>
        <n v="40.065929668045435"/>
        <n v="57.66095376424087"/>
        <n v="84.61425255136838"/>
        <n v="82.8790739799398"/>
        <n v="79.70922751720369"/>
        <n v="63.92504111103639"/>
        <n v="57.11055213545558"/>
        <n v="50.15802512465125"/>
        <n v="44.861723844285095"/>
        <n v="43.52774419961239"/>
        <n v="61.27377212486437"/>
        <n v="81.52378229902202"/>
        <n v="60.72772325444753"/>
        <n v="54.65432782363546"/>
        <n v="53.01201741799173"/>
        <n v="57.12877048499635"/>
        <n v="58.36632831063417"/>
        <n v="80.62462409259518"/>
        <n v="74.8350899460197"/>
        <n v="62.156567521768196"/>
        <n v="91.10432100342031"/>
        <n v="84.38723896310479"/>
        <n v="66.35873715654107"/>
        <n v="78.41277892909119"/>
        <n v="65.33686984916167"/>
        <n v="65.40488828234139"/>
        <n v="76.39391395712744"/>
        <n v="72.9468369327693"/>
        <n v="59.72621262253519"/>
        <n v="94.54546969296743"/>
        <n v="83.16911594723177"/>
        <n v="86.43212199619123"/>
        <n v="77.16463915227462"/>
        <n v="79.70282626469209"/>
        <n v="77.18080534049668"/>
        <n v="99.49618956348681"/>
        <n v="55.59676445773761"/>
        <n v="61.148745250054546"/>
        <n v="53.0341152620049"/>
        <n v="65.343335246783"/>
        <n v="82.54215011619497"/>
        <n v="62.74198654657315"/>
        <n v="63.58954957178323"/>
        <n v="86.39472969831883"/>
        <n v="78.70517568947014"/>
        <n v="67.09180929046376"/>
        <n v="80.4542211140916"/>
        <n v="82.25266087709358"/>
        <n v="64.82617634779798"/>
        <n v="100.92436453329762"/>
        <n v="83.2259435893446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0" dataCaption="Data" grandTotalCaption="Composite Average" showMissing="1" preserveFormatting="1" useAutoFormatting="1" itemPrintTitles="1" compactData="0" updatedVersion="2" indent="0" showMemberPropertyTips="1">
  <location ref="A24:C37" firstHeaderRow="1" firstDataRow="2" firstDataCol="1"/>
  <pivotFields count="16">
    <pivotField axis="axisRow" compact="0" outline="0" subtotalTop="0" showAll="0">
      <items count="14">
        <item h="1" x="1"/>
        <item x="8"/>
        <item x="11"/>
        <item x="9"/>
        <item x="12"/>
        <item x="3"/>
        <item x="4"/>
        <item x="5"/>
        <item x="7"/>
        <item x="6"/>
        <item x="10"/>
        <item n="Project Management Office"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0"/>
  </rowFields>
  <rowItems count="12">
    <i>
      <x v="1"/>
    </i>
    <i>
      <x v="2"/>
    </i>
    <i>
      <x v="3"/>
    </i>
    <i>
      <x v="4"/>
    </i>
    <i>
      <x v="5"/>
    </i>
    <i>
      <x v="6"/>
    </i>
    <i>
      <x v="7"/>
    </i>
    <i>
      <x v="8"/>
    </i>
    <i>
      <x v="9"/>
    </i>
    <i>
      <x v="10"/>
    </i>
    <i>
      <x v="11"/>
    </i>
    <i t="grand">
      <x/>
    </i>
  </rowItems>
  <colFields count="1">
    <field x="-2"/>
  </colFields>
  <colItems count="2">
    <i>
      <x/>
    </i>
    <i i="1">
      <x v="1"/>
    </i>
  </colItems>
  <dataFields count="2">
    <dataField name="Average of Direct Per Hour Cost" fld="9" subtotal="average" baseField="0" baseItem="0"/>
    <dataField name="Average Absorbed Per Hour Cost" fld="15" subtotal="average"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grandTotalCaption="Composite Average" showMissing="1" preserveFormatting="1" useAutoFormatting="1" itemPrintTitles="1" compactData="0" updatedVersion="2" indent="0" showMemberPropertyTips="1">
  <location ref="A6:C21" firstHeaderRow="1" firstDataRow="2" firstDataCol="1"/>
  <pivotFields count="15">
    <pivotField axis="axisRow" compact="0" outline="0" subtotalTop="0" showAll="0" name="Job Grouping">
      <items count="15">
        <item x="12"/>
        <item x="4"/>
        <item x="10"/>
        <item x="9"/>
        <item x="5"/>
        <item x="7"/>
        <item x="11"/>
        <item x="3"/>
        <item x="8"/>
        <item x="13"/>
        <item x="6"/>
        <item x="2"/>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0"/>
  </rowFields>
  <rowItems count="14">
    <i>
      <x/>
    </i>
    <i>
      <x v="1"/>
    </i>
    <i>
      <x v="2"/>
    </i>
    <i>
      <x v="3"/>
    </i>
    <i>
      <x v="4"/>
    </i>
    <i>
      <x v="5"/>
    </i>
    <i>
      <x v="6"/>
    </i>
    <i>
      <x v="7"/>
    </i>
    <i>
      <x v="8"/>
    </i>
    <i>
      <x v="9"/>
    </i>
    <i>
      <x v="10"/>
    </i>
    <i>
      <x v="11"/>
    </i>
    <i>
      <x v="12"/>
    </i>
    <i t="grand">
      <x/>
    </i>
  </rowItems>
  <colFields count="1">
    <field x="-2"/>
  </colFields>
  <colItems count="2">
    <i>
      <x/>
    </i>
    <i i="1">
      <x v="1"/>
    </i>
  </colItems>
  <dataFields count="2">
    <dataField name="Average of Direct Per Hour Cost" fld="8" subtotal="average" baseField="0" baseItem="0"/>
    <dataField name="Average Absorbed Per Hour Cost" fld="14"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 Id="rId4"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zoomScalePageLayoutView="0" workbookViewId="0" topLeftCell="A1">
      <selection activeCell="A26" sqref="A26"/>
    </sheetView>
  </sheetViews>
  <sheetFormatPr defaultColWidth="11.421875" defaultRowHeight="12.75"/>
  <cols>
    <col min="1" max="1" width="35.8515625" style="0" customWidth="1"/>
    <col min="2" max="2" width="16.8515625" style="0" customWidth="1"/>
    <col min="3" max="3" width="10.8515625" style="0" hidden="1" customWidth="1"/>
  </cols>
  <sheetData>
    <row r="1" spans="1:9" ht="37.5" customHeight="1">
      <c r="A1" s="129"/>
      <c r="B1" s="129"/>
      <c r="C1" s="129"/>
      <c r="D1" s="129"/>
      <c r="E1" s="129"/>
      <c r="F1" s="129"/>
      <c r="G1" s="129"/>
      <c r="H1" s="129"/>
      <c r="I1" s="129"/>
    </row>
    <row r="2" spans="1:17" s="1" customFormat="1" ht="20.25">
      <c r="A2" s="149" t="s">
        <v>290</v>
      </c>
      <c r="B2" s="150"/>
      <c r="C2" s="150"/>
      <c r="D2" s="150"/>
      <c r="E2" s="130" t="s">
        <v>280</v>
      </c>
      <c r="F2" s="131"/>
      <c r="G2" s="131"/>
      <c r="H2" s="132"/>
      <c r="I2" s="132"/>
      <c r="J2" s="6"/>
      <c r="K2" s="6"/>
      <c r="L2" s="8"/>
      <c r="M2" s="6"/>
      <c r="N2" s="6"/>
      <c r="O2" s="6"/>
      <c r="P2" s="6"/>
      <c r="Q2" s="6"/>
    </row>
    <row r="3" spans="1:17" s="1" customFormat="1" ht="19.5" customHeight="1">
      <c r="A3" s="151" t="s">
        <v>109</v>
      </c>
      <c r="B3" s="151"/>
      <c r="C3" s="151"/>
      <c r="D3" s="151"/>
      <c r="E3" s="153"/>
      <c r="F3" s="129"/>
      <c r="G3" s="129"/>
      <c r="H3" s="129"/>
      <c r="I3" s="129"/>
      <c r="J3" s="6"/>
      <c r="K3" s="6"/>
      <c r="L3" s="8"/>
      <c r="M3" s="6"/>
      <c r="N3" s="6"/>
      <c r="O3" s="6"/>
      <c r="P3" s="6"/>
      <c r="Q3" s="6"/>
    </row>
    <row r="4" spans="1:17" s="1" customFormat="1" ht="12" customHeight="1">
      <c r="A4" s="151"/>
      <c r="B4" s="142"/>
      <c r="C4" s="142"/>
      <c r="D4" s="142"/>
      <c r="E4" s="142"/>
      <c r="F4" s="142"/>
      <c r="G4" s="142"/>
      <c r="H4" s="142"/>
      <c r="I4" s="142"/>
      <c r="J4" s="6"/>
      <c r="K4" s="6"/>
      <c r="L4" s="8"/>
      <c r="M4" s="6"/>
      <c r="N4" s="6"/>
      <c r="O4" s="6"/>
      <c r="P4" s="6"/>
      <c r="Q4" s="6"/>
    </row>
    <row r="5" spans="1:17" ht="6" customHeight="1">
      <c r="A5" s="133"/>
      <c r="B5" s="133"/>
      <c r="C5" s="133"/>
      <c r="D5" s="133"/>
      <c r="E5" s="133"/>
      <c r="F5" s="133"/>
      <c r="G5" s="133"/>
      <c r="H5" s="129"/>
      <c r="I5" s="129"/>
      <c r="J5" s="7"/>
      <c r="K5" s="7"/>
      <c r="L5" s="13"/>
      <c r="M5" s="7"/>
      <c r="N5" s="7"/>
      <c r="O5" s="7"/>
      <c r="P5" s="7"/>
      <c r="Q5" s="7"/>
    </row>
    <row r="6" spans="1:9" ht="16.5" customHeight="1">
      <c r="A6" s="140" t="s">
        <v>6</v>
      </c>
      <c r="B6" s="141"/>
      <c r="C6" s="141"/>
      <c r="D6" s="141"/>
      <c r="E6" s="141"/>
      <c r="F6" s="141"/>
      <c r="G6" s="141"/>
      <c r="H6" s="141"/>
      <c r="I6" s="141"/>
    </row>
    <row r="7" spans="1:9" ht="9.75" customHeight="1">
      <c r="A7" s="142"/>
      <c r="B7" s="142"/>
      <c r="C7" s="142"/>
      <c r="D7" s="142"/>
      <c r="E7" s="142"/>
      <c r="F7" s="142"/>
      <c r="G7" s="142"/>
      <c r="H7" s="142"/>
      <c r="I7" s="142"/>
    </row>
    <row r="8" spans="1:17" s="11" customFormat="1" ht="15.75">
      <c r="A8" s="68" t="s">
        <v>272</v>
      </c>
      <c r="B8" s="79" t="s">
        <v>107</v>
      </c>
      <c r="C8" s="136" t="s">
        <v>34</v>
      </c>
      <c r="D8" s="137"/>
      <c r="E8" s="137"/>
      <c r="F8" s="137"/>
      <c r="G8" s="137"/>
      <c r="H8" s="138"/>
      <c r="I8" s="138"/>
      <c r="J8" s="10"/>
      <c r="K8" s="10"/>
      <c r="L8" s="14"/>
      <c r="M8" s="10"/>
      <c r="N8" s="10"/>
      <c r="O8" s="10"/>
      <c r="P8" s="10"/>
      <c r="Q8" s="10"/>
    </row>
    <row r="9" spans="1:17" s="29" customFormat="1" ht="15">
      <c r="A9" s="86" t="s">
        <v>81</v>
      </c>
      <c r="B9" s="103">
        <v>7</v>
      </c>
      <c r="C9" s="122" t="s">
        <v>106</v>
      </c>
      <c r="D9" s="123"/>
      <c r="E9" s="123"/>
      <c r="F9" s="123"/>
      <c r="G9" s="123"/>
      <c r="H9" s="123"/>
      <c r="I9" s="123"/>
      <c r="J9" s="27"/>
      <c r="K9" s="27"/>
      <c r="L9" s="28"/>
      <c r="M9" s="27"/>
      <c r="N9" s="27"/>
      <c r="O9" s="27"/>
      <c r="P9" s="27"/>
      <c r="Q9" s="27"/>
    </row>
    <row r="10" spans="1:17" s="29" customFormat="1" ht="15">
      <c r="A10" s="87" t="s">
        <v>246</v>
      </c>
      <c r="B10" s="104">
        <f>260*Working_hours_per_day</f>
        <v>1820</v>
      </c>
      <c r="C10" s="125" t="s">
        <v>105</v>
      </c>
      <c r="D10" s="126"/>
      <c r="E10" s="126"/>
      <c r="F10" s="126"/>
      <c r="G10" s="126"/>
      <c r="H10" s="127"/>
      <c r="I10" s="127"/>
      <c r="J10" s="27"/>
      <c r="K10" s="27"/>
      <c r="L10" s="28"/>
      <c r="M10" s="27"/>
      <c r="N10" s="27"/>
      <c r="O10" s="27"/>
      <c r="P10" s="27"/>
      <c r="Q10" s="27"/>
    </row>
    <row r="11" spans="1:17" s="29" customFormat="1" ht="15">
      <c r="A11" s="86" t="s">
        <v>288</v>
      </c>
      <c r="B11" s="105">
        <v>0.235</v>
      </c>
      <c r="C11" s="122"/>
      <c r="D11" s="123"/>
      <c r="E11" s="123"/>
      <c r="F11" s="123"/>
      <c r="G11" s="123"/>
      <c r="H11" s="124"/>
      <c r="I11" s="124"/>
      <c r="J11" s="27"/>
      <c r="K11" s="27"/>
      <c r="L11" s="28"/>
      <c r="M11" s="27"/>
      <c r="N11" s="27"/>
      <c r="O11" s="27"/>
      <c r="P11" s="27"/>
      <c r="Q11" s="27"/>
    </row>
    <row r="12" spans="1:17" s="29" customFormat="1" ht="15">
      <c r="A12" s="87" t="s">
        <v>289</v>
      </c>
      <c r="B12" s="106">
        <v>0.23</v>
      </c>
      <c r="C12" s="125"/>
      <c r="D12" s="126"/>
      <c r="E12" s="126"/>
      <c r="F12" s="126"/>
      <c r="G12" s="126"/>
      <c r="H12" s="127"/>
      <c r="I12" s="127"/>
      <c r="J12" s="27"/>
      <c r="K12" s="27"/>
      <c r="L12" s="28"/>
      <c r="M12" s="27"/>
      <c r="N12" s="27"/>
      <c r="O12" s="27"/>
      <c r="P12" s="27"/>
      <c r="Q12" s="27"/>
    </row>
    <row r="13" spans="1:17" s="4" customFormat="1" ht="15">
      <c r="A13" s="145"/>
      <c r="B13" s="129"/>
      <c r="C13" s="129"/>
      <c r="D13" s="129"/>
      <c r="E13" s="129"/>
      <c r="F13" s="129"/>
      <c r="G13" s="129"/>
      <c r="H13" s="129"/>
      <c r="I13" s="129"/>
      <c r="J13" s="5"/>
      <c r="K13" s="5"/>
      <c r="L13" s="12"/>
      <c r="M13" s="5"/>
      <c r="N13" s="5"/>
      <c r="O13" s="5"/>
      <c r="P13" s="5"/>
      <c r="Q13" s="5"/>
    </row>
    <row r="14" spans="1:17" s="11" customFormat="1" ht="15.75">
      <c r="A14" s="68" t="s">
        <v>273</v>
      </c>
      <c r="B14" s="79" t="s">
        <v>108</v>
      </c>
      <c r="C14" s="136" t="s">
        <v>34</v>
      </c>
      <c r="D14" s="137"/>
      <c r="E14" s="137"/>
      <c r="F14" s="137"/>
      <c r="G14" s="137"/>
      <c r="H14" s="152"/>
      <c r="I14" s="152"/>
      <c r="J14" s="10"/>
      <c r="K14" s="10"/>
      <c r="L14" s="14"/>
      <c r="M14" s="10"/>
      <c r="N14" s="10"/>
      <c r="O14" s="10"/>
      <c r="P14" s="10"/>
      <c r="Q14" s="10"/>
    </row>
    <row r="15" spans="1:17" s="4" customFormat="1" ht="28.5">
      <c r="A15" s="88" t="s">
        <v>274</v>
      </c>
      <c r="B15" s="97">
        <v>20</v>
      </c>
      <c r="C15" s="128" t="s">
        <v>18</v>
      </c>
      <c r="D15" s="124"/>
      <c r="E15" s="124"/>
      <c r="F15" s="124"/>
      <c r="G15" s="124"/>
      <c r="H15" s="124"/>
      <c r="I15" s="124"/>
      <c r="J15" s="5"/>
      <c r="K15" s="5"/>
      <c r="L15" s="12"/>
      <c r="M15" s="5"/>
      <c r="N15" s="5"/>
      <c r="O15" s="5"/>
      <c r="P15" s="5"/>
      <c r="Q15" s="5"/>
    </row>
    <row r="16" spans="1:17" s="4" customFormat="1" ht="15">
      <c r="A16" s="89" t="s">
        <v>275</v>
      </c>
      <c r="B16" s="99">
        <v>10177</v>
      </c>
      <c r="C16" s="134" t="s">
        <v>20</v>
      </c>
      <c r="D16" s="127"/>
      <c r="E16" s="127"/>
      <c r="F16" s="127"/>
      <c r="G16" s="127"/>
      <c r="H16" s="84"/>
      <c r="I16" s="85"/>
      <c r="J16" s="5"/>
      <c r="K16" s="5"/>
      <c r="L16" s="12"/>
      <c r="M16" s="5"/>
      <c r="N16" s="5"/>
      <c r="O16" s="5"/>
      <c r="P16" s="5"/>
      <c r="Q16" s="5"/>
    </row>
    <row r="17" spans="1:17" s="4" customFormat="1" ht="15">
      <c r="A17" s="88" t="s">
        <v>36</v>
      </c>
      <c r="B17" s="118">
        <f>COUNTIF('Table 2 - Staff Costing Profile'!E:E,1)</f>
        <v>49</v>
      </c>
      <c r="C17" s="128" t="s">
        <v>19</v>
      </c>
      <c r="D17" s="124"/>
      <c r="E17" s="124"/>
      <c r="F17" s="124"/>
      <c r="G17" s="124"/>
      <c r="H17" s="124"/>
      <c r="I17" s="124"/>
      <c r="J17" s="5"/>
      <c r="K17" s="5"/>
      <c r="L17" s="12"/>
      <c r="M17" s="5"/>
      <c r="N17" s="5"/>
      <c r="O17" s="5"/>
      <c r="P17" s="5"/>
      <c r="Q17" s="5"/>
    </row>
    <row r="18" spans="1:17" s="4" customFormat="1" ht="28.5">
      <c r="A18" s="89" t="s">
        <v>80</v>
      </c>
      <c r="B18" s="100">
        <v>19</v>
      </c>
      <c r="C18" s="134" t="s">
        <v>18</v>
      </c>
      <c r="D18" s="127"/>
      <c r="E18" s="127"/>
      <c r="F18" s="127"/>
      <c r="G18" s="127"/>
      <c r="H18" s="127"/>
      <c r="I18" s="127"/>
      <c r="J18" s="5"/>
      <c r="K18" s="5"/>
      <c r="L18" s="12"/>
      <c r="M18" s="5"/>
      <c r="N18" s="5"/>
      <c r="O18" s="5"/>
      <c r="P18" s="5"/>
      <c r="Q18" s="5"/>
    </row>
    <row r="19" spans="1:17" s="4" customFormat="1" ht="15">
      <c r="A19" s="88" t="s">
        <v>37</v>
      </c>
      <c r="B19" s="101">
        <v>1550</v>
      </c>
      <c r="C19" s="128" t="s">
        <v>17</v>
      </c>
      <c r="D19" s="124"/>
      <c r="E19" s="124"/>
      <c r="F19" s="124"/>
      <c r="G19" s="124"/>
      <c r="H19" s="124"/>
      <c r="I19" s="124"/>
      <c r="J19" s="5"/>
      <c r="K19" s="5"/>
      <c r="L19" s="12"/>
      <c r="M19" s="5"/>
      <c r="N19" s="5"/>
      <c r="O19" s="5"/>
      <c r="P19" s="5"/>
      <c r="Q19" s="5"/>
    </row>
    <row r="20" spans="1:17" s="4" customFormat="1" ht="15">
      <c r="A20" s="89" t="s">
        <v>38</v>
      </c>
      <c r="B20" s="117">
        <f>COUNTIF('Table 2 - Staff Costing Profile'!E:E,2)</f>
        <v>18</v>
      </c>
      <c r="C20" s="134" t="s">
        <v>16</v>
      </c>
      <c r="D20" s="127"/>
      <c r="E20" s="127"/>
      <c r="F20" s="127"/>
      <c r="G20" s="127"/>
      <c r="H20" s="127"/>
      <c r="I20" s="127"/>
      <c r="J20" s="5"/>
      <c r="K20" s="5"/>
      <c r="L20" s="12"/>
      <c r="M20" s="5"/>
      <c r="N20" s="5"/>
      <c r="O20" s="5"/>
      <c r="P20" s="5"/>
      <c r="Q20" s="5"/>
    </row>
    <row r="21" spans="1:17" s="4" customFormat="1" ht="15">
      <c r="A21" s="88" t="s">
        <v>35</v>
      </c>
      <c r="B21" s="102">
        <f>loc_1_staff+loc_2_staff</f>
        <v>67</v>
      </c>
      <c r="C21" s="128" t="s">
        <v>15</v>
      </c>
      <c r="D21" s="124"/>
      <c r="E21" s="124"/>
      <c r="F21" s="124"/>
      <c r="G21" s="124"/>
      <c r="H21" s="124"/>
      <c r="I21" s="124"/>
      <c r="J21" s="5"/>
      <c r="K21" s="5"/>
      <c r="L21" s="12"/>
      <c r="M21" s="5"/>
      <c r="N21" s="5"/>
      <c r="O21" s="5"/>
      <c r="P21" s="5"/>
      <c r="Q21" s="5"/>
    </row>
    <row r="22" spans="1:17" s="4" customFormat="1" ht="15">
      <c r="A22" s="89" t="s">
        <v>42</v>
      </c>
      <c r="B22" s="100">
        <v>2300</v>
      </c>
      <c r="C22" s="144" t="s">
        <v>14</v>
      </c>
      <c r="D22" s="127"/>
      <c r="E22" s="127"/>
      <c r="F22" s="127"/>
      <c r="G22" s="127"/>
      <c r="H22" s="127"/>
      <c r="I22" s="127"/>
      <c r="J22" s="5"/>
      <c r="K22" s="5"/>
      <c r="L22" s="12"/>
      <c r="M22" s="5"/>
      <c r="N22" s="5"/>
      <c r="O22" s="5"/>
      <c r="P22" s="5"/>
      <c r="Q22" s="5"/>
    </row>
    <row r="23" spans="1:17" s="4" customFormat="1" ht="15">
      <c r="A23" s="148"/>
      <c r="B23" s="129"/>
      <c r="C23" s="129"/>
      <c r="D23" s="129"/>
      <c r="E23" s="129"/>
      <c r="F23" s="129"/>
      <c r="G23" s="129"/>
      <c r="H23" s="129"/>
      <c r="I23" s="129"/>
      <c r="J23" s="5"/>
      <c r="K23" s="5"/>
      <c r="L23" s="12"/>
      <c r="M23" s="5"/>
      <c r="N23" s="5"/>
      <c r="O23" s="5"/>
      <c r="P23" s="5"/>
      <c r="Q23" s="5"/>
    </row>
    <row r="24" spans="1:17" s="11" customFormat="1" ht="15.75">
      <c r="A24" s="68" t="s">
        <v>41</v>
      </c>
      <c r="B24" s="79" t="s">
        <v>108</v>
      </c>
      <c r="C24" s="136" t="s">
        <v>34</v>
      </c>
      <c r="D24" s="137"/>
      <c r="E24" s="137"/>
      <c r="F24" s="137"/>
      <c r="G24" s="137"/>
      <c r="H24" s="138"/>
      <c r="I24" s="138"/>
      <c r="J24" s="10"/>
      <c r="K24" s="10"/>
      <c r="L24" s="14"/>
      <c r="M24" s="10"/>
      <c r="N24" s="10"/>
      <c r="O24" s="10"/>
      <c r="P24" s="10"/>
      <c r="Q24" s="10"/>
    </row>
    <row r="25" spans="1:17" s="4" customFormat="1" ht="15">
      <c r="A25" s="121" t="s">
        <v>292</v>
      </c>
      <c r="B25" s="97">
        <v>100000</v>
      </c>
      <c r="C25" s="135" t="s">
        <v>13</v>
      </c>
      <c r="D25" s="124"/>
      <c r="E25" s="124"/>
      <c r="F25" s="124"/>
      <c r="G25" s="124"/>
      <c r="H25" s="124"/>
      <c r="I25" s="124"/>
      <c r="J25" s="5"/>
      <c r="K25" s="5"/>
      <c r="L25" s="12"/>
      <c r="M25" s="5"/>
      <c r="N25" s="5"/>
      <c r="O25" s="5"/>
      <c r="P25" s="5"/>
      <c r="Q25" s="5"/>
    </row>
    <row r="26" spans="1:17" s="4" customFormat="1" ht="15">
      <c r="A26" s="89" t="s">
        <v>45</v>
      </c>
      <c r="B26" s="96">
        <f>(1807158+1667480)*0.05</f>
        <v>173731.90000000002</v>
      </c>
      <c r="C26" s="144" t="s">
        <v>12</v>
      </c>
      <c r="D26" s="127"/>
      <c r="E26" s="127"/>
      <c r="F26" s="127"/>
      <c r="G26" s="127"/>
      <c r="H26" s="127"/>
      <c r="I26" s="127"/>
      <c r="J26" s="5"/>
      <c r="K26" s="5"/>
      <c r="L26" s="12"/>
      <c r="M26" s="5"/>
      <c r="N26" s="5"/>
      <c r="O26" s="5"/>
      <c r="P26" s="5"/>
      <c r="Q26" s="5"/>
    </row>
    <row r="27" spans="1:17" s="4" customFormat="1" ht="30" customHeight="1">
      <c r="A27" s="90" t="s">
        <v>153</v>
      </c>
      <c r="B27" s="98">
        <v>0.5</v>
      </c>
      <c r="C27" s="135" t="s">
        <v>39</v>
      </c>
      <c r="D27" s="124"/>
      <c r="E27" s="124"/>
      <c r="F27" s="124"/>
      <c r="G27" s="124"/>
      <c r="H27" s="124"/>
      <c r="I27" s="124"/>
      <c r="J27" s="5"/>
      <c r="K27" s="5"/>
      <c r="L27" s="12"/>
      <c r="M27" s="5"/>
      <c r="N27" s="5"/>
      <c r="O27" s="5"/>
      <c r="P27" s="5"/>
      <c r="Q27" s="5"/>
    </row>
    <row r="28" spans="1:17" s="4" customFormat="1" ht="30" customHeight="1">
      <c r="A28" s="115" t="s">
        <v>154</v>
      </c>
      <c r="B28" s="116">
        <f>('Table 2 - Staff Costing Profile'!I9+'Table 2 - Staff Costing Profile'!J9+'Table 2 - Staff Costing Profile'!I10+'Table 2 - Staff Costing Profile'!J10)/total_staff</f>
        <v>3362.1511940298506</v>
      </c>
      <c r="C28" s="146" t="s">
        <v>40</v>
      </c>
      <c r="D28" s="147"/>
      <c r="E28" s="147"/>
      <c r="F28" s="147"/>
      <c r="G28" s="147"/>
      <c r="H28" s="147"/>
      <c r="I28" s="147"/>
      <c r="J28" s="5"/>
      <c r="K28" s="5"/>
      <c r="L28" s="12"/>
      <c r="M28" s="5"/>
      <c r="N28" s="5"/>
      <c r="O28" s="5"/>
      <c r="P28" s="5"/>
      <c r="Q28" s="5"/>
    </row>
    <row r="29" spans="1:17" s="4" customFormat="1" ht="30" customHeight="1">
      <c r="A29" s="90" t="s">
        <v>159</v>
      </c>
      <c r="B29" s="95">
        <f>58315+489+449+12545+1158+2239+4555+424+100+1041+47+16918+805+11330+1044+2207+138+962+70+1+28+274+1636+2466+209</f>
        <v>119450</v>
      </c>
      <c r="C29" s="143" t="s">
        <v>24</v>
      </c>
      <c r="D29" s="124"/>
      <c r="E29" s="124"/>
      <c r="F29" s="124"/>
      <c r="G29" s="124"/>
      <c r="H29" s="124"/>
      <c r="I29" s="124"/>
      <c r="J29" s="5"/>
      <c r="K29" s="5"/>
      <c r="L29" s="12"/>
      <c r="M29" s="5"/>
      <c r="N29" s="5"/>
      <c r="O29" s="5"/>
      <c r="P29" s="5"/>
      <c r="Q29" s="5"/>
    </row>
    <row r="30" spans="1:9" ht="12.75">
      <c r="A30" s="139"/>
      <c r="B30" s="129"/>
      <c r="C30" s="129"/>
      <c r="D30" s="129"/>
      <c r="E30" s="129"/>
      <c r="F30" s="129"/>
      <c r="G30" s="129"/>
      <c r="H30" s="129"/>
      <c r="I30" s="129"/>
    </row>
    <row r="31" spans="1:9" ht="6" customHeight="1">
      <c r="A31" s="133"/>
      <c r="B31" s="133"/>
      <c r="C31" s="133"/>
      <c r="D31" s="133"/>
      <c r="E31" s="133"/>
      <c r="F31" s="133"/>
      <c r="G31" s="133"/>
      <c r="H31" s="129"/>
      <c r="I31" s="129"/>
    </row>
  </sheetData>
  <sheetProtection/>
  <mergeCells count="34">
    <mergeCell ref="A2:D2"/>
    <mergeCell ref="A4:I4"/>
    <mergeCell ref="C14:I14"/>
    <mergeCell ref="C17:I17"/>
    <mergeCell ref="A3:D3"/>
    <mergeCell ref="E3:I3"/>
    <mergeCell ref="A7:I7"/>
    <mergeCell ref="C29:I29"/>
    <mergeCell ref="C26:I26"/>
    <mergeCell ref="C27:I27"/>
    <mergeCell ref="C22:I22"/>
    <mergeCell ref="A13:I13"/>
    <mergeCell ref="C16:G16"/>
    <mergeCell ref="C10:I10"/>
    <mergeCell ref="C28:I28"/>
    <mergeCell ref="C19:I19"/>
    <mergeCell ref="A31:I31"/>
    <mergeCell ref="C9:I9"/>
    <mergeCell ref="C25:I25"/>
    <mergeCell ref="C8:I8"/>
    <mergeCell ref="C24:I24"/>
    <mergeCell ref="A30:I30"/>
    <mergeCell ref="A23:I23"/>
    <mergeCell ref="C20:I20"/>
    <mergeCell ref="C11:I11"/>
    <mergeCell ref="C12:I12"/>
    <mergeCell ref="C15:I15"/>
    <mergeCell ref="C21:I21"/>
    <mergeCell ref="A1:C1"/>
    <mergeCell ref="D1:I1"/>
    <mergeCell ref="E2:I2"/>
    <mergeCell ref="A5:I5"/>
    <mergeCell ref="C18:I18"/>
    <mergeCell ref="A6:I6"/>
  </mergeCells>
  <printOptions horizontalCentered="1"/>
  <pageMargins left="0.39000000000000007" right="0.39000000000000007" top="0.39000000000000007" bottom="0.39000000000000007" header="0" footer="0"/>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87"/>
  <sheetViews>
    <sheetView zoomScalePageLayoutView="0" workbookViewId="0" topLeftCell="D1">
      <selection activeCell="F7" sqref="F7"/>
    </sheetView>
  </sheetViews>
  <sheetFormatPr defaultColWidth="8.8515625" defaultRowHeight="12.75"/>
  <cols>
    <col min="1" max="1" width="38.140625" style="0" customWidth="1"/>
    <col min="2" max="2" width="40.8515625" style="0" customWidth="1"/>
    <col min="3" max="3" width="35.140625" style="0" customWidth="1"/>
    <col min="4" max="4" width="35.00390625" style="0" bestFit="1" customWidth="1"/>
    <col min="5" max="5" width="11.28125" style="23" customWidth="1"/>
    <col min="6" max="6" width="15.421875" style="23" customWidth="1"/>
    <col min="7" max="7" width="3.28125" style="23" customWidth="1"/>
    <col min="8" max="8" width="6.7109375" style="25" customWidth="1"/>
    <col min="9" max="9" width="9.140625" style="7" customWidth="1"/>
    <col min="10" max="10" width="10.421875" style="7" customWidth="1"/>
    <col min="11" max="11" width="7.8515625" style="7" customWidth="1"/>
    <col min="12" max="12" width="8.140625" style="7" customWidth="1"/>
    <col min="13" max="13" width="11.00390625" style="13" customWidth="1"/>
    <col min="14" max="14" width="3.28125" style="13" customWidth="1"/>
    <col min="15" max="15" width="7.421875" style="7" customWidth="1"/>
    <col min="16" max="16" width="11.8515625" style="7" customWidth="1"/>
    <col min="17" max="17" width="8.28125" style="7" customWidth="1"/>
    <col min="18" max="19" width="9.8515625" style="7" customWidth="1"/>
    <col min="20" max="20" width="11.140625" style="0" customWidth="1"/>
  </cols>
  <sheetData>
    <row r="1" spans="1:20" ht="39" customHeight="1">
      <c r="A1" s="142"/>
      <c r="B1" s="142"/>
      <c r="C1" s="142"/>
      <c r="D1" s="142"/>
      <c r="E1" s="142"/>
      <c r="F1" s="142"/>
      <c r="H1" s="158"/>
      <c r="I1" s="142"/>
      <c r="J1" s="142"/>
      <c r="K1" s="142"/>
      <c r="L1" s="142"/>
      <c r="M1" s="142"/>
      <c r="O1" s="157"/>
      <c r="P1" s="142"/>
      <c r="Q1" s="142"/>
      <c r="R1" s="142"/>
      <c r="S1" s="142"/>
      <c r="T1" s="142"/>
    </row>
    <row r="2" spans="1:20" ht="27" customHeight="1">
      <c r="A2" s="159" t="s">
        <v>290</v>
      </c>
      <c r="B2" s="160"/>
      <c r="C2" s="160"/>
      <c r="D2" s="160"/>
      <c r="E2" s="160"/>
      <c r="F2" s="160"/>
      <c r="H2" s="158"/>
      <c r="I2" s="142"/>
      <c r="J2" s="142"/>
      <c r="K2" s="142"/>
      <c r="L2" s="142"/>
      <c r="M2" s="142"/>
      <c r="O2" s="155" t="s">
        <v>280</v>
      </c>
      <c r="P2" s="156"/>
      <c r="Q2" s="156"/>
      <c r="R2" s="150"/>
      <c r="S2" s="150"/>
      <c r="T2" s="150"/>
    </row>
    <row r="3" spans="1:20" ht="27" customHeight="1">
      <c r="A3" s="161" t="s">
        <v>110</v>
      </c>
      <c r="B3" s="160"/>
      <c r="C3" s="53"/>
      <c r="D3" s="53"/>
      <c r="E3" s="53"/>
      <c r="F3" s="53"/>
      <c r="I3" s="30"/>
      <c r="J3" s="30"/>
      <c r="K3" s="30"/>
      <c r="L3" s="30"/>
      <c r="M3" s="30"/>
      <c r="O3" s="31"/>
      <c r="P3" s="30"/>
      <c r="Q3" s="30"/>
      <c r="R3" s="30"/>
      <c r="S3" s="30"/>
      <c r="T3" s="30"/>
    </row>
    <row r="4" spans="1:20" ht="7.5" customHeight="1">
      <c r="A4" s="154"/>
      <c r="B4" s="154"/>
      <c r="C4" s="154"/>
      <c r="D4" s="154"/>
      <c r="E4" s="154"/>
      <c r="F4" s="154"/>
      <c r="G4" s="154"/>
      <c r="H4" s="154"/>
      <c r="I4" s="154"/>
      <c r="J4" s="154"/>
      <c r="K4" s="154"/>
      <c r="L4" s="154"/>
      <c r="M4" s="154"/>
      <c r="N4" s="154"/>
      <c r="O4" s="154"/>
      <c r="P4" s="154"/>
      <c r="Q4" s="154"/>
      <c r="R4" s="154"/>
      <c r="S4" s="154"/>
      <c r="T4" s="154"/>
    </row>
    <row r="5" spans="1:20" ht="18" customHeight="1">
      <c r="A5" s="175" t="s">
        <v>234</v>
      </c>
      <c r="B5" s="177"/>
      <c r="C5" s="177"/>
      <c r="D5" s="177"/>
      <c r="E5" s="178"/>
      <c r="F5" s="178"/>
      <c r="H5" s="175" t="s">
        <v>232</v>
      </c>
      <c r="I5" s="176"/>
      <c r="J5" s="176"/>
      <c r="K5" s="176"/>
      <c r="L5" s="176"/>
      <c r="M5" s="176"/>
      <c r="N5" s="41"/>
      <c r="O5" s="174" t="s">
        <v>231</v>
      </c>
      <c r="P5" s="174"/>
      <c r="Q5" s="174"/>
      <c r="R5" s="174"/>
      <c r="S5" s="174"/>
      <c r="T5" s="175"/>
    </row>
    <row r="6" spans="7:20" ht="15.75">
      <c r="G6" s="41"/>
      <c r="I6" s="10"/>
      <c r="N6" s="41"/>
      <c r="O6" s="10"/>
      <c r="T6" s="42" t="s">
        <v>233</v>
      </c>
    </row>
    <row r="7" spans="1:20" s="3" customFormat="1" ht="33" customHeight="1">
      <c r="A7" s="68" t="s">
        <v>49</v>
      </c>
      <c r="B7" s="66" t="s">
        <v>236</v>
      </c>
      <c r="C7" s="68" t="s">
        <v>238</v>
      </c>
      <c r="D7" s="80" t="s">
        <v>28</v>
      </c>
      <c r="E7" s="68" t="s">
        <v>93</v>
      </c>
      <c r="F7" s="66" t="s">
        <v>293</v>
      </c>
      <c r="G7" s="69"/>
      <c r="H7" s="70" t="s">
        <v>271</v>
      </c>
      <c r="I7" s="81" t="s">
        <v>237</v>
      </c>
      <c r="J7" s="71" t="s">
        <v>249</v>
      </c>
      <c r="K7" s="81" t="s">
        <v>251</v>
      </c>
      <c r="L7" s="71" t="s">
        <v>151</v>
      </c>
      <c r="M7" s="82" t="s">
        <v>245</v>
      </c>
      <c r="N7" s="72"/>
      <c r="O7" s="71" t="s">
        <v>152</v>
      </c>
      <c r="P7" s="81" t="s">
        <v>94</v>
      </c>
      <c r="Q7" s="71" t="s">
        <v>155</v>
      </c>
      <c r="R7" s="81" t="s">
        <v>156</v>
      </c>
      <c r="S7" s="71" t="s">
        <v>158</v>
      </c>
      <c r="T7" s="80" t="s">
        <v>245</v>
      </c>
    </row>
    <row r="8" spans="1:20" ht="14.25">
      <c r="A8" s="142"/>
      <c r="B8" s="142"/>
      <c r="C8" s="142"/>
      <c r="D8" s="142"/>
      <c r="G8" s="40"/>
      <c r="H8" s="158"/>
      <c r="I8" s="142"/>
      <c r="J8" s="142"/>
      <c r="K8" s="142"/>
      <c r="L8" s="142"/>
      <c r="M8" s="142"/>
      <c r="N8" s="41"/>
      <c r="O8" s="157"/>
      <c r="P8" s="157"/>
      <c r="Q8" s="157"/>
      <c r="R8" s="157"/>
      <c r="S8" s="157"/>
      <c r="T8" s="142"/>
    </row>
    <row r="9" spans="1:20" s="4" customFormat="1" ht="15">
      <c r="A9" s="32" t="s">
        <v>43</v>
      </c>
      <c r="B9" s="33" t="s">
        <v>239</v>
      </c>
      <c r="C9" s="33" t="s">
        <v>240</v>
      </c>
      <c r="D9" s="33"/>
      <c r="E9" s="34">
        <v>1</v>
      </c>
      <c r="F9" s="34">
        <v>2</v>
      </c>
      <c r="G9" s="41"/>
      <c r="H9" s="35" t="s">
        <v>89</v>
      </c>
      <c r="I9" s="36">
        <v>135824</v>
      </c>
      <c r="J9" s="36">
        <f>IF(F9=1,I9*Bargaining_unit_1_benefit,I9*bargaining_unit_2_benefit)</f>
        <v>31239.52</v>
      </c>
      <c r="K9" s="36">
        <v>30</v>
      </c>
      <c r="L9" s="36">
        <f>IF(E9=1,(loc_1_sf/loc_1_staff)*cost_per_sf_1,(loc_2_sf/loc_2_staff)*cost_per_sf_2)</f>
        <v>4153.877551020409</v>
      </c>
      <c r="M9" s="37">
        <f>((I9+J9)+equipment_cost_per_person+L9)/(working_hours_per_year-(K9*Working_hours_per_day))</f>
        <v>107.77478108759031</v>
      </c>
      <c r="N9" s="41"/>
      <c r="O9" s="36">
        <f>CIO_Levy/total_staff</f>
        <v>1492.5373134328358</v>
      </c>
      <c r="P9" s="36">
        <f>institutional_overhead/total_staff</f>
        <v>2593.0134328358213</v>
      </c>
      <c r="Q9" s="36"/>
      <c r="R9" s="36"/>
      <c r="S9" s="36">
        <f aca="true" t="shared" si="0" ref="S9:S17">Admin_costs/total_staff</f>
        <v>1782.8358208955224</v>
      </c>
      <c r="T9" s="44">
        <f>((I9+J9)+equipment_cost_per_person+L9+O9+P9+Q9+R9+S9)/(working_hours_per_year-(K9*7))</f>
        <v>111.41974168831341</v>
      </c>
    </row>
    <row r="10" spans="1:20" s="4" customFormat="1" ht="15">
      <c r="A10" s="21" t="s">
        <v>44</v>
      </c>
      <c r="B10" s="4" t="s">
        <v>241</v>
      </c>
      <c r="C10" s="4" t="s">
        <v>240</v>
      </c>
      <c r="E10" s="24">
        <v>1</v>
      </c>
      <c r="F10" s="24">
        <v>1</v>
      </c>
      <c r="G10" s="41"/>
      <c r="H10" s="26" t="s">
        <v>92</v>
      </c>
      <c r="I10" s="5">
        <v>47126</v>
      </c>
      <c r="J10" s="5">
        <f>IF(F10=1,I10*Bargaining_unit_1_benefit,I10*bargaining_unit_2_benefit)</f>
        <v>11074.609999999999</v>
      </c>
      <c r="K10" s="5">
        <v>22</v>
      </c>
      <c r="L10" s="5">
        <f>IF(E10=1,(loc_1_sf/loc_1_staff)*cost_per_sf_1,(loc_2_sf/loc_2_staff)*cost_per_sf_2)</f>
        <v>4153.877551020409</v>
      </c>
      <c r="M10" s="12">
        <f>((I10+J10)+equipment_cost_per_person+L10)/(working_hours_per_year-(K10*Working_hours_per_day))</f>
        <v>38.80821581693902</v>
      </c>
      <c r="N10" s="41"/>
      <c r="O10" s="5">
        <f>CIO_Levy/total_staff</f>
        <v>1492.5373134328358</v>
      </c>
      <c r="P10" s="5">
        <f>institutional_overhead/total_staff</f>
        <v>2593.0134328358213</v>
      </c>
      <c r="Q10" s="5"/>
      <c r="R10" s="5"/>
      <c r="S10" s="5">
        <f t="shared" si="0"/>
        <v>1782.8358208955224</v>
      </c>
      <c r="T10" s="43">
        <f>((I10+J10)+equipment_cost_per_person+L10+O10+P10+Q10+R10+S10)/(working_hours_per_year-(K10*7))</f>
        <v>42.330656733604194</v>
      </c>
    </row>
    <row r="11" spans="1:20" s="4" customFormat="1" ht="15">
      <c r="A11" s="162"/>
      <c r="B11" s="163"/>
      <c r="C11" s="163"/>
      <c r="D11" s="163"/>
      <c r="E11" s="163"/>
      <c r="F11" s="163"/>
      <c r="G11" s="163"/>
      <c r="H11" s="163"/>
      <c r="I11" s="163"/>
      <c r="J11" s="163"/>
      <c r="K11" s="163"/>
      <c r="L11" s="163"/>
      <c r="M11" s="163"/>
      <c r="N11" s="12"/>
      <c r="O11" s="5"/>
      <c r="P11" s="5"/>
      <c r="Q11" s="5"/>
      <c r="R11" s="5"/>
      <c r="S11" s="5"/>
      <c r="T11" s="43"/>
    </row>
    <row r="12" spans="1:20" s="4" customFormat="1" ht="15">
      <c r="A12" s="32" t="s">
        <v>46</v>
      </c>
      <c r="B12" s="33" t="s">
        <v>208</v>
      </c>
      <c r="C12" s="120" t="s">
        <v>291</v>
      </c>
      <c r="D12" s="33" t="s">
        <v>260</v>
      </c>
      <c r="E12" s="34">
        <v>1</v>
      </c>
      <c r="F12" s="34">
        <v>2</v>
      </c>
      <c r="G12" s="41"/>
      <c r="H12" s="35" t="s">
        <v>90</v>
      </c>
      <c r="I12" s="36">
        <v>72951</v>
      </c>
      <c r="J12" s="36">
        <f aca="true" t="shared" si="1" ref="J12:J17">IF(F12=1,I12*Bargaining_unit_1_benefit,I12*bargaining_unit_2_benefit)</f>
        <v>16778.73</v>
      </c>
      <c r="K12" s="36">
        <v>22</v>
      </c>
      <c r="L12" s="36">
        <f aca="true" t="shared" si="2" ref="L12:L17">IF(E12=1,(loc_1_sf/loc_1_staff)*cost_per_sf_1,(loc_2_sf/loc_2_staff)*cost_per_sf_2)</f>
        <v>4153.877551020409</v>
      </c>
      <c r="M12" s="37">
        <f aca="true" t="shared" si="3" ref="M12:M17">((I12+J12)+equipment_cost_per_person+L12)/(working_hours_per_year-(K12*Working_hours_per_day))</f>
        <v>57.733257833745746</v>
      </c>
      <c r="N12" s="41"/>
      <c r="O12" s="36">
        <f aca="true" t="shared" si="4" ref="O12:O17">CIO_Levy/total_staff</f>
        <v>1492.5373134328358</v>
      </c>
      <c r="P12" s="36">
        <f aca="true" t="shared" si="5" ref="P12:P17">institutional_overhead/total_staff</f>
        <v>2593.0134328358213</v>
      </c>
      <c r="Q12" s="36"/>
      <c r="R12" s="36"/>
      <c r="S12" s="36">
        <f t="shared" si="0"/>
        <v>1782.8358208955224</v>
      </c>
      <c r="T12" s="44">
        <f aca="true" t="shared" si="6" ref="T12:T17">((I12+J12)+equipment_cost_per_person+L12+O12+P12+Q12+R12+S12)/(working_hours_per_year-(K12*7))</f>
        <v>61.25569875041092</v>
      </c>
    </row>
    <row r="13" spans="1:20" s="4" customFormat="1" ht="15">
      <c r="A13" s="21" t="s">
        <v>47</v>
      </c>
      <c r="B13" s="4" t="s">
        <v>160</v>
      </c>
      <c r="C13" s="120" t="s">
        <v>291</v>
      </c>
      <c r="D13" s="4" t="s">
        <v>26</v>
      </c>
      <c r="E13" s="24">
        <v>1</v>
      </c>
      <c r="F13" s="24">
        <v>2</v>
      </c>
      <c r="G13" s="41"/>
      <c r="H13" s="26" t="s">
        <v>88</v>
      </c>
      <c r="I13" s="5">
        <v>65455</v>
      </c>
      <c r="J13" s="5">
        <f t="shared" si="1"/>
        <v>15054.650000000001</v>
      </c>
      <c r="K13" s="5">
        <v>43</v>
      </c>
      <c r="L13" s="5">
        <f t="shared" si="2"/>
        <v>4153.877551020409</v>
      </c>
      <c r="M13" s="37">
        <f t="shared" si="3"/>
        <v>57.25051188348941</v>
      </c>
      <c r="N13" s="41"/>
      <c r="O13" s="5">
        <f t="shared" si="4"/>
        <v>1492.5373134328358</v>
      </c>
      <c r="P13" s="5">
        <f t="shared" si="5"/>
        <v>2593.0134328358213</v>
      </c>
      <c r="Q13" s="5">
        <f>((I12+J12)*supervisor_assess)/5</f>
        <v>8972.973</v>
      </c>
      <c r="R13" s="5"/>
      <c r="S13" s="5">
        <f t="shared" si="0"/>
        <v>1782.8358208955224</v>
      </c>
      <c r="T13" s="43">
        <f t="shared" si="6"/>
        <v>67.02099217787004</v>
      </c>
    </row>
    <row r="14" spans="1:20" s="4" customFormat="1" ht="15">
      <c r="A14" s="32" t="s">
        <v>48</v>
      </c>
      <c r="B14" s="32" t="s">
        <v>261</v>
      </c>
      <c r="C14" s="120" t="s">
        <v>291</v>
      </c>
      <c r="D14" s="33" t="s">
        <v>26</v>
      </c>
      <c r="E14" s="34">
        <v>1</v>
      </c>
      <c r="F14" s="34">
        <v>2</v>
      </c>
      <c r="G14" s="41"/>
      <c r="H14" s="35" t="s">
        <v>87</v>
      </c>
      <c r="I14" s="36">
        <v>54000</v>
      </c>
      <c r="J14" s="36">
        <f t="shared" si="1"/>
        <v>12420</v>
      </c>
      <c r="K14" s="36">
        <v>22</v>
      </c>
      <c r="L14" s="36">
        <f t="shared" si="2"/>
        <v>4153.877551020409</v>
      </c>
      <c r="M14" s="37">
        <f t="shared" si="3"/>
        <v>43.74182325991622</v>
      </c>
      <c r="N14" s="41"/>
      <c r="O14" s="36">
        <f t="shared" si="4"/>
        <v>1492.5373134328358</v>
      </c>
      <c r="P14" s="36">
        <f t="shared" si="5"/>
        <v>2593.0134328358213</v>
      </c>
      <c r="Q14" s="36">
        <f>Gary_Levy</f>
        <v>8972.973</v>
      </c>
      <c r="R14" s="36"/>
      <c r="S14" s="36">
        <f t="shared" si="0"/>
        <v>1782.8358208955224</v>
      </c>
      <c r="T14" s="44">
        <f t="shared" si="6"/>
        <v>52.6502023518515</v>
      </c>
    </row>
    <row r="15" spans="1:20" s="4" customFormat="1" ht="15">
      <c r="A15" s="21" t="s">
        <v>172</v>
      </c>
      <c r="B15" s="4" t="s">
        <v>261</v>
      </c>
      <c r="C15" s="120" t="s">
        <v>291</v>
      </c>
      <c r="D15" s="4" t="s">
        <v>26</v>
      </c>
      <c r="E15" s="24">
        <v>1</v>
      </c>
      <c r="F15" s="24">
        <v>2</v>
      </c>
      <c r="G15" s="41"/>
      <c r="H15" s="26" t="s">
        <v>88</v>
      </c>
      <c r="I15" s="5">
        <v>67383</v>
      </c>
      <c r="J15" s="5">
        <f t="shared" si="1"/>
        <v>15498.09</v>
      </c>
      <c r="K15" s="5">
        <v>44</v>
      </c>
      <c r="L15" s="5">
        <f t="shared" si="2"/>
        <v>4153.877551020409</v>
      </c>
      <c r="M15" s="37">
        <f t="shared" si="3"/>
        <v>59.08397324802937</v>
      </c>
      <c r="N15" s="41"/>
      <c r="O15" s="5">
        <f t="shared" si="4"/>
        <v>1492.5373134328358</v>
      </c>
      <c r="P15" s="5">
        <f t="shared" si="5"/>
        <v>2593.0134328358213</v>
      </c>
      <c r="Q15" s="5">
        <f>Gary_Levy</f>
        <v>8972.973</v>
      </c>
      <c r="R15" s="5"/>
      <c r="S15" s="5">
        <f t="shared" si="0"/>
        <v>1782.8358208955224</v>
      </c>
      <c r="T15" s="43">
        <f t="shared" si="6"/>
        <v>68.89968724747658</v>
      </c>
    </row>
    <row r="16" spans="1:20" s="4" customFormat="1" ht="15">
      <c r="A16" s="32" t="s">
        <v>50</v>
      </c>
      <c r="B16" s="33" t="s">
        <v>261</v>
      </c>
      <c r="C16" s="120" t="s">
        <v>291</v>
      </c>
      <c r="D16" s="33" t="s">
        <v>26</v>
      </c>
      <c r="E16" s="34">
        <v>1</v>
      </c>
      <c r="F16" s="34">
        <v>2</v>
      </c>
      <c r="G16" s="41"/>
      <c r="H16" s="35" t="s">
        <v>87</v>
      </c>
      <c r="I16" s="36">
        <v>64201</v>
      </c>
      <c r="J16" s="36">
        <f t="shared" si="1"/>
        <v>14766.230000000001</v>
      </c>
      <c r="K16" s="36">
        <v>43</v>
      </c>
      <c r="L16" s="36">
        <f t="shared" si="2"/>
        <v>4153.877551020409</v>
      </c>
      <c r="M16" s="37">
        <f t="shared" si="3"/>
        <v>56.235093845306395</v>
      </c>
      <c r="N16" s="41"/>
      <c r="O16" s="36">
        <f t="shared" si="4"/>
        <v>1492.5373134328358</v>
      </c>
      <c r="P16" s="36">
        <f t="shared" si="5"/>
        <v>2593.0134328358213</v>
      </c>
      <c r="Q16" s="36">
        <f>Gary_Levy</f>
        <v>8972.973</v>
      </c>
      <c r="R16" s="36"/>
      <c r="S16" s="36">
        <f t="shared" si="0"/>
        <v>1782.8358208955224</v>
      </c>
      <c r="T16" s="44">
        <f t="shared" si="6"/>
        <v>66.00557413968703</v>
      </c>
    </row>
    <row r="17" spans="1:20" s="4" customFormat="1" ht="15">
      <c r="A17" s="21" t="s">
        <v>173</v>
      </c>
      <c r="B17" s="4" t="s">
        <v>129</v>
      </c>
      <c r="C17" s="120" t="s">
        <v>291</v>
      </c>
      <c r="D17" s="4" t="s">
        <v>129</v>
      </c>
      <c r="E17" s="24">
        <v>1</v>
      </c>
      <c r="F17" s="24">
        <v>2</v>
      </c>
      <c r="G17" s="41"/>
      <c r="H17" s="26" t="s">
        <v>91</v>
      </c>
      <c r="I17" s="5">
        <v>97624</v>
      </c>
      <c r="J17" s="5">
        <f t="shared" si="1"/>
        <v>22453.52</v>
      </c>
      <c r="K17" s="5">
        <v>22</v>
      </c>
      <c r="L17" s="5">
        <f t="shared" si="2"/>
        <v>4153.877551020409</v>
      </c>
      <c r="M17" s="37">
        <f t="shared" si="3"/>
        <v>75.94921821789941</v>
      </c>
      <c r="N17" s="41"/>
      <c r="O17" s="5">
        <f t="shared" si="4"/>
        <v>1492.5373134328358</v>
      </c>
      <c r="P17" s="5">
        <f t="shared" si="5"/>
        <v>2593.0134328358213</v>
      </c>
      <c r="Q17" s="5">
        <f>Gary_Levy</f>
        <v>8972.973</v>
      </c>
      <c r="R17" s="5"/>
      <c r="S17" s="5">
        <f t="shared" si="0"/>
        <v>1782.8358208955224</v>
      </c>
      <c r="T17" s="43">
        <f t="shared" si="6"/>
        <v>84.8575973098347</v>
      </c>
    </row>
    <row r="18" spans="1:20" s="4" customFormat="1" ht="15">
      <c r="A18" s="162"/>
      <c r="B18" s="163"/>
      <c r="C18" s="163"/>
      <c r="D18" s="163"/>
      <c r="E18" s="163"/>
      <c r="F18" s="163"/>
      <c r="G18" s="163"/>
      <c r="H18" s="163"/>
      <c r="I18" s="163"/>
      <c r="J18" s="163"/>
      <c r="K18" s="163"/>
      <c r="L18" s="163"/>
      <c r="M18" s="163"/>
      <c r="N18" s="41"/>
      <c r="O18" s="5"/>
      <c r="P18" s="5"/>
      <c r="Q18" s="5"/>
      <c r="R18" s="5"/>
      <c r="S18" s="5"/>
      <c r="T18" s="43"/>
    </row>
    <row r="19" spans="1:20" s="4" customFormat="1" ht="15">
      <c r="A19" s="32" t="s">
        <v>174</v>
      </c>
      <c r="B19" s="33" t="s">
        <v>242</v>
      </c>
      <c r="C19" s="33" t="s">
        <v>97</v>
      </c>
      <c r="D19" s="33" t="s">
        <v>260</v>
      </c>
      <c r="E19" s="34">
        <v>1</v>
      </c>
      <c r="F19" s="34">
        <v>2</v>
      </c>
      <c r="G19" s="41"/>
      <c r="H19" s="35" t="s">
        <v>90</v>
      </c>
      <c r="I19" s="36">
        <v>90983</v>
      </c>
      <c r="J19" s="36">
        <f aca="true" t="shared" si="7" ref="J19:J27">IF(F19=1,I19*Bargaining_unit_1_benefit,I19*bargaining_unit_2_benefit)</f>
        <v>20926.09</v>
      </c>
      <c r="K19" s="36">
        <v>48</v>
      </c>
      <c r="L19" s="36">
        <f aca="true" t="shared" si="8" ref="L19:L26">IF(E19=1,(loc_1_sf/loc_1_staff)*cost_per_sf_1,(loc_2_sf/loc_2_staff)*cost_per_sf_2)</f>
        <v>4153.877551020409</v>
      </c>
      <c r="M19" s="37">
        <f aca="true" t="shared" si="9" ref="M19:M27">((I19+J19)+equipment_cost_per_person+L19)/(working_hours_per_year-(K19*Working_hours_per_day))</f>
        <v>79.75941209637494</v>
      </c>
      <c r="N19" s="41"/>
      <c r="O19" s="36">
        <f aca="true" t="shared" si="10" ref="O19:O27">CIO_Levy/total_staff</f>
        <v>1492.5373134328358</v>
      </c>
      <c r="P19" s="36">
        <f aca="true" t="shared" si="11" ref="P19:P27">institutional_overhead/total_staff</f>
        <v>2593.0134328358213</v>
      </c>
      <c r="Q19" s="36"/>
      <c r="R19" s="36">
        <f aca="true" t="shared" si="12" ref="R19:R27">Manager_assess</f>
        <v>3362.1511940298506</v>
      </c>
      <c r="S19" s="36">
        <f aca="true" t="shared" si="13" ref="S19:S27">Admin_costs/total_staff</f>
        <v>1782.8358208955224</v>
      </c>
      <c r="T19" s="44">
        <f aca="true" t="shared" si="14" ref="T19:T27">((I19+J19)+equipment_cost_per_person+L19+O19+P19+Q19+R19+S19)/(working_hours_per_year-(K19*7))</f>
        <v>85.97945101901243</v>
      </c>
    </row>
    <row r="20" spans="1:20" s="4" customFormat="1" ht="15">
      <c r="A20" s="21" t="s">
        <v>175</v>
      </c>
      <c r="B20" s="4" t="s">
        <v>243</v>
      </c>
      <c r="C20" s="4" t="s">
        <v>98</v>
      </c>
      <c r="D20" s="4" t="s">
        <v>157</v>
      </c>
      <c r="E20" s="24">
        <v>1</v>
      </c>
      <c r="F20" s="24">
        <v>1</v>
      </c>
      <c r="G20" s="41"/>
      <c r="H20" s="26" t="s">
        <v>86</v>
      </c>
      <c r="I20" s="5">
        <v>51418</v>
      </c>
      <c r="J20" s="5">
        <f t="shared" si="7"/>
        <v>12083.23</v>
      </c>
      <c r="K20" s="5">
        <v>17</v>
      </c>
      <c r="L20" s="5">
        <f t="shared" si="8"/>
        <v>4153.877551020409</v>
      </c>
      <c r="M20" s="37">
        <f t="shared" si="9"/>
        <v>41.12587157614369</v>
      </c>
      <c r="N20" s="41"/>
      <c r="O20" s="5">
        <f t="shared" si="10"/>
        <v>1492.5373134328358</v>
      </c>
      <c r="P20" s="5">
        <f t="shared" si="11"/>
        <v>2593.0134328358213</v>
      </c>
      <c r="Q20" s="5">
        <f>Coordinator_Help_Desk_PC_Levy</f>
        <v>3391.1845454545455</v>
      </c>
      <c r="R20" s="5">
        <f t="shared" si="12"/>
        <v>3362.1511940298506</v>
      </c>
      <c r="S20" s="5">
        <f t="shared" si="13"/>
        <v>1782.8358208955224</v>
      </c>
      <c r="T20" s="43">
        <f t="shared" si="14"/>
        <v>48.546049299041144</v>
      </c>
    </row>
    <row r="21" spans="1:20" s="4" customFormat="1" ht="15">
      <c r="A21" s="32" t="s">
        <v>176</v>
      </c>
      <c r="B21" s="33" t="s">
        <v>243</v>
      </c>
      <c r="C21" s="33" t="s">
        <v>98</v>
      </c>
      <c r="D21" s="33" t="s">
        <v>157</v>
      </c>
      <c r="E21" s="34">
        <v>1</v>
      </c>
      <c r="F21" s="34">
        <v>1</v>
      </c>
      <c r="G21" s="41"/>
      <c r="H21" s="35" t="s">
        <v>86</v>
      </c>
      <c r="I21" s="36">
        <v>40697</v>
      </c>
      <c r="J21" s="36">
        <f t="shared" si="7"/>
        <v>9563.795</v>
      </c>
      <c r="K21" s="36">
        <v>17</v>
      </c>
      <c r="L21" s="36">
        <f t="shared" si="8"/>
        <v>4153.877551020409</v>
      </c>
      <c r="M21" s="37">
        <f t="shared" si="9"/>
        <v>33.341959171675725</v>
      </c>
      <c r="N21" s="41"/>
      <c r="O21" s="36">
        <f t="shared" si="10"/>
        <v>1492.5373134328358</v>
      </c>
      <c r="P21" s="36">
        <f t="shared" si="11"/>
        <v>2593.0134328358213</v>
      </c>
      <c r="Q21" s="36">
        <f>Coordinator_Help_Desk_PC_Levy</f>
        <v>3391.1845454545455</v>
      </c>
      <c r="R21" s="36">
        <f t="shared" si="12"/>
        <v>3362.1511940298506</v>
      </c>
      <c r="S21" s="36">
        <f t="shared" si="13"/>
        <v>1782.8358208955224</v>
      </c>
      <c r="T21" s="44">
        <f t="shared" si="14"/>
        <v>40.762136894573175</v>
      </c>
    </row>
    <row r="22" spans="1:20" s="4" customFormat="1" ht="15">
      <c r="A22" s="21" t="s">
        <v>177</v>
      </c>
      <c r="B22" s="4" t="s">
        <v>243</v>
      </c>
      <c r="C22" s="4" t="s">
        <v>98</v>
      </c>
      <c r="D22" s="4" t="s">
        <v>157</v>
      </c>
      <c r="E22" s="24">
        <v>1</v>
      </c>
      <c r="F22" s="24">
        <v>1</v>
      </c>
      <c r="G22" s="41"/>
      <c r="H22" s="26" t="s">
        <v>86</v>
      </c>
      <c r="I22" s="5">
        <v>64778</v>
      </c>
      <c r="J22" s="5">
        <f t="shared" si="7"/>
        <v>15222.83</v>
      </c>
      <c r="K22" s="5">
        <v>27</v>
      </c>
      <c r="L22" s="5">
        <f t="shared" si="8"/>
        <v>4153.877551020409</v>
      </c>
      <c r="M22" s="37">
        <f t="shared" si="9"/>
        <v>53.00717814286966</v>
      </c>
      <c r="N22" s="41"/>
      <c r="O22" s="5">
        <f t="shared" si="10"/>
        <v>1492.5373134328358</v>
      </c>
      <c r="P22" s="5">
        <f t="shared" si="11"/>
        <v>2593.0134328358213</v>
      </c>
      <c r="Q22" s="5">
        <f>Coordinator_Help_Desk_PC_Levy</f>
        <v>3391.1845454545455</v>
      </c>
      <c r="R22" s="5">
        <f t="shared" si="12"/>
        <v>3362.1511940298506</v>
      </c>
      <c r="S22" s="5">
        <f t="shared" si="13"/>
        <v>1782.8358208955224</v>
      </c>
      <c r="T22" s="43">
        <f t="shared" si="14"/>
        <v>60.7458184289816</v>
      </c>
    </row>
    <row r="23" spans="1:20" s="4" customFormat="1" ht="15">
      <c r="A23" s="32" t="s">
        <v>178</v>
      </c>
      <c r="B23" s="33" t="s">
        <v>243</v>
      </c>
      <c r="C23" s="33" t="s">
        <v>98</v>
      </c>
      <c r="D23" s="33" t="s">
        <v>157</v>
      </c>
      <c r="E23" s="34">
        <v>1</v>
      </c>
      <c r="F23" s="34">
        <v>1</v>
      </c>
      <c r="G23" s="41"/>
      <c r="H23" s="38" t="s">
        <v>86</v>
      </c>
      <c r="I23" s="36">
        <v>40305</v>
      </c>
      <c r="J23" s="36">
        <f t="shared" si="7"/>
        <v>9471.675</v>
      </c>
      <c r="K23" s="36">
        <v>17</v>
      </c>
      <c r="L23" s="36">
        <f t="shared" si="8"/>
        <v>4153.877551020409</v>
      </c>
      <c r="M23" s="37">
        <f t="shared" si="9"/>
        <v>33.05735011817778</v>
      </c>
      <c r="N23" s="41"/>
      <c r="O23" s="36">
        <f t="shared" si="10"/>
        <v>1492.5373134328358</v>
      </c>
      <c r="P23" s="36">
        <f t="shared" si="11"/>
        <v>2593.0134328358213</v>
      </c>
      <c r="Q23" s="36">
        <f>Coordinator_Help_Desk_PC_Levy</f>
        <v>3391.1845454545455</v>
      </c>
      <c r="R23" s="36">
        <f t="shared" si="12"/>
        <v>3362.1511940298506</v>
      </c>
      <c r="S23" s="36">
        <f t="shared" si="13"/>
        <v>1782.8358208955224</v>
      </c>
      <c r="T23" s="44">
        <f t="shared" si="14"/>
        <v>40.477527841075236</v>
      </c>
    </row>
    <row r="24" spans="1:20" s="4" customFormat="1" ht="15">
      <c r="A24" s="21" t="s">
        <v>179</v>
      </c>
      <c r="B24" s="4" t="s">
        <v>243</v>
      </c>
      <c r="C24" s="4" t="s">
        <v>98</v>
      </c>
      <c r="D24" s="4" t="s">
        <v>157</v>
      </c>
      <c r="E24" s="24">
        <v>1</v>
      </c>
      <c r="F24" s="24">
        <v>1</v>
      </c>
      <c r="G24" s="41"/>
      <c r="H24" s="26" t="s">
        <v>86</v>
      </c>
      <c r="I24" s="5">
        <v>59001</v>
      </c>
      <c r="J24" s="5">
        <f t="shared" si="7"/>
        <v>13865.234999999999</v>
      </c>
      <c r="K24" s="5">
        <v>27</v>
      </c>
      <c r="L24" s="5">
        <f t="shared" si="8"/>
        <v>4153.877551020409</v>
      </c>
      <c r="M24" s="37">
        <f t="shared" si="9"/>
        <v>48.632809657277996</v>
      </c>
      <c r="N24" s="41"/>
      <c r="O24" s="5">
        <f t="shared" si="10"/>
        <v>1492.5373134328358</v>
      </c>
      <c r="P24" s="5">
        <f t="shared" si="11"/>
        <v>2593.0134328358213</v>
      </c>
      <c r="Q24" s="5">
        <f>Coordinator_Help_Desk_PC_Levy</f>
        <v>3391.1845454545455</v>
      </c>
      <c r="R24" s="5">
        <f t="shared" si="12"/>
        <v>3362.1511940298506</v>
      </c>
      <c r="S24" s="5">
        <f t="shared" si="13"/>
        <v>1782.8358208955224</v>
      </c>
      <c r="T24" s="43">
        <f t="shared" si="14"/>
        <v>56.37144994338994</v>
      </c>
    </row>
    <row r="25" spans="1:20" s="4" customFormat="1" ht="15">
      <c r="A25" s="32" t="s">
        <v>180</v>
      </c>
      <c r="B25" s="33" t="s">
        <v>127</v>
      </c>
      <c r="C25" s="33" t="s">
        <v>98</v>
      </c>
      <c r="D25" s="33" t="s">
        <v>157</v>
      </c>
      <c r="E25" s="34">
        <v>1</v>
      </c>
      <c r="F25" s="34">
        <v>1</v>
      </c>
      <c r="G25" s="41"/>
      <c r="H25" s="35" t="s">
        <v>92</v>
      </c>
      <c r="I25" s="36">
        <v>39500</v>
      </c>
      <c r="J25" s="36">
        <f t="shared" si="7"/>
        <v>9282.5</v>
      </c>
      <c r="K25" s="36">
        <v>17</v>
      </c>
      <c r="L25" s="36">
        <f t="shared" si="8"/>
        <v>4153.877551020409</v>
      </c>
      <c r="M25" s="37">
        <f t="shared" si="9"/>
        <v>32.47288509760165</v>
      </c>
      <c r="N25" s="41"/>
      <c r="O25" s="36">
        <f t="shared" si="10"/>
        <v>1492.5373134328358</v>
      </c>
      <c r="P25" s="36">
        <f t="shared" si="11"/>
        <v>2593.0134328358213</v>
      </c>
      <c r="Q25" s="36">
        <f>((I19+J19)*supervisor_assess)/16.5</f>
        <v>3391.1845454545455</v>
      </c>
      <c r="R25" s="36">
        <f t="shared" si="12"/>
        <v>3362.1511940298506</v>
      </c>
      <c r="S25" s="36">
        <f t="shared" si="13"/>
        <v>1782.8358208955224</v>
      </c>
      <c r="T25" s="44">
        <f t="shared" si="14"/>
        <v>39.893062820499104</v>
      </c>
    </row>
    <row r="26" spans="1:20" s="4" customFormat="1" ht="15">
      <c r="A26" s="21" t="s">
        <v>181</v>
      </c>
      <c r="B26" s="4" t="s">
        <v>127</v>
      </c>
      <c r="C26" s="4" t="s">
        <v>98</v>
      </c>
      <c r="D26" s="4" t="s">
        <v>157</v>
      </c>
      <c r="E26" s="24">
        <v>1</v>
      </c>
      <c r="F26" s="24">
        <v>1</v>
      </c>
      <c r="G26" s="41"/>
      <c r="H26" s="26" t="s">
        <v>92</v>
      </c>
      <c r="I26" s="5">
        <v>39511</v>
      </c>
      <c r="J26" s="5">
        <f t="shared" si="7"/>
        <v>9285.085</v>
      </c>
      <c r="K26" s="5">
        <v>18</v>
      </c>
      <c r="L26" s="5">
        <f t="shared" si="8"/>
        <v>4153.877551020409</v>
      </c>
      <c r="M26" s="37">
        <f t="shared" si="9"/>
        <v>32.61509005373105</v>
      </c>
      <c r="N26" s="41"/>
      <c r="O26" s="5">
        <f t="shared" si="10"/>
        <v>1492.5373134328358</v>
      </c>
      <c r="P26" s="5">
        <f t="shared" si="11"/>
        <v>2593.0134328358213</v>
      </c>
      <c r="Q26" s="5">
        <f>Coordinator_Help_Desk_PC_Levy</f>
        <v>3391.1845454545455</v>
      </c>
      <c r="R26" s="5">
        <f t="shared" si="12"/>
        <v>3362.1511940298506</v>
      </c>
      <c r="S26" s="5">
        <f t="shared" si="13"/>
        <v>1782.8358208955224</v>
      </c>
      <c r="T26" s="43">
        <f t="shared" si="14"/>
        <v>40.065929668045435</v>
      </c>
    </row>
    <row r="27" spans="1:20" s="4" customFormat="1" ht="15">
      <c r="A27" s="32" t="s">
        <v>182</v>
      </c>
      <c r="B27" s="33" t="s">
        <v>244</v>
      </c>
      <c r="C27" s="33" t="s">
        <v>98</v>
      </c>
      <c r="D27" s="33" t="s">
        <v>157</v>
      </c>
      <c r="E27" s="34">
        <v>2</v>
      </c>
      <c r="F27" s="34">
        <v>1</v>
      </c>
      <c r="G27" s="41"/>
      <c r="H27" s="35" t="s">
        <v>86</v>
      </c>
      <c r="I27" s="36">
        <v>64778</v>
      </c>
      <c r="J27" s="36">
        <f t="shared" si="7"/>
        <v>15222.83</v>
      </c>
      <c r="K27" s="36">
        <v>27</v>
      </c>
      <c r="L27" s="36">
        <f>IF(E27=1,(loc_1_sf/loc_1_staff)*cost_per_sf_1,(loc_2_sf/loc_2_staff)*cost_per_sf_2)/2</f>
        <v>818.0555555555555</v>
      </c>
      <c r="M27" s="37">
        <f t="shared" si="9"/>
        <v>50.961916343075146</v>
      </c>
      <c r="N27" s="41"/>
      <c r="O27" s="36">
        <f t="shared" si="10"/>
        <v>1492.5373134328358</v>
      </c>
      <c r="P27" s="36">
        <f t="shared" si="11"/>
        <v>2593.0134328358213</v>
      </c>
      <c r="Q27" s="36">
        <f>Coordinator_Help_Desk_PC_Levy/2</f>
        <v>1695.5922727272728</v>
      </c>
      <c r="R27" s="36">
        <f t="shared" si="12"/>
        <v>3362.1511940298506</v>
      </c>
      <c r="S27" s="36">
        <f t="shared" si="13"/>
        <v>1782.8358208955224</v>
      </c>
      <c r="T27" s="44">
        <f t="shared" si="14"/>
        <v>57.66095376424087</v>
      </c>
    </row>
    <row r="28" spans="1:20" s="4" customFormat="1" ht="15">
      <c r="A28" s="162"/>
      <c r="B28" s="163"/>
      <c r="C28" s="163"/>
      <c r="D28" s="163"/>
      <c r="E28" s="163"/>
      <c r="F28" s="163"/>
      <c r="G28" s="163"/>
      <c r="H28" s="163"/>
      <c r="I28" s="163"/>
      <c r="J28" s="163"/>
      <c r="K28" s="163"/>
      <c r="L28" s="163"/>
      <c r="M28" s="163"/>
      <c r="N28" s="41"/>
      <c r="O28" s="5"/>
      <c r="P28" s="5"/>
      <c r="Q28" s="5"/>
      <c r="R28" s="5"/>
      <c r="S28" s="5"/>
      <c r="T28" s="43"/>
    </row>
    <row r="29" spans="1:20" s="4" customFormat="1" ht="15">
      <c r="A29" s="32" t="s">
        <v>183</v>
      </c>
      <c r="B29" s="33" t="s">
        <v>248</v>
      </c>
      <c r="C29" s="33" t="s">
        <v>99</v>
      </c>
      <c r="D29" s="33" t="s">
        <v>265</v>
      </c>
      <c r="E29" s="34">
        <v>1</v>
      </c>
      <c r="F29" s="34">
        <v>2</v>
      </c>
      <c r="G29" s="41"/>
      <c r="H29" s="35" t="s">
        <v>90</v>
      </c>
      <c r="I29" s="36">
        <v>88505</v>
      </c>
      <c r="J29" s="36">
        <f aca="true" t="shared" si="15" ref="J29:J37">IF(F29=1,I29*Bargaining_unit_1_benefit,I29*bargaining_unit_2_benefit)</f>
        <v>20356.15</v>
      </c>
      <c r="K29" s="36">
        <v>44</v>
      </c>
      <c r="L29" s="36">
        <f aca="true" t="shared" si="16" ref="L29:L37">IF(E29=1,(loc_1_sf/loc_1_staff)*cost_per_sf_1,(loc_2_sf/loc_2_staff)*cost_per_sf_2)</f>
        <v>4153.877551020409</v>
      </c>
      <c r="M29" s="37">
        <f aca="true" t="shared" si="17" ref="M29:M37">((I29+J29)+equipment_cost_per_person+L29)/(working_hours_per_year-(K29*Working_hours_per_day))</f>
        <v>76.26655261310873</v>
      </c>
      <c r="N29" s="41"/>
      <c r="O29" s="36">
        <f aca="true" t="shared" si="18" ref="O29:O37">CIO_Levy/total_staff</f>
        <v>1492.5373134328358</v>
      </c>
      <c r="P29" s="36">
        <f aca="true" t="shared" si="19" ref="P29:P37">institutional_overhead/total_staff</f>
        <v>2593.0134328358213</v>
      </c>
      <c r="Q29" s="36">
        <f aca="true" t="shared" si="20" ref="Q29:Q37">Coordinator_Help_Desk_PC_Levy</f>
        <v>3391.1845454545455</v>
      </c>
      <c r="R29" s="36">
        <f aca="true" t="shared" si="21" ref="R29:R37">Manager_assess</f>
        <v>3362.1511940298506</v>
      </c>
      <c r="S29" s="36">
        <f aca="true" t="shared" si="22" ref="S29:S37">Admin_costs/total_staff</f>
        <v>1782.8358208955224</v>
      </c>
      <c r="T29" s="44">
        <f aca="true" t="shared" si="23" ref="T29:T37">((I29+J29)+equipment_cost_per_person+L29+O29+P29+Q29+R29+S29)/(working_hours_per_year-(K29*7))</f>
        <v>84.61425255136838</v>
      </c>
    </row>
    <row r="30" spans="1:20" s="4" customFormat="1" ht="15">
      <c r="A30" s="21" t="s">
        <v>184</v>
      </c>
      <c r="B30" s="4" t="s">
        <v>248</v>
      </c>
      <c r="C30" s="4" t="s">
        <v>99</v>
      </c>
      <c r="D30" s="4" t="s">
        <v>265</v>
      </c>
      <c r="E30" s="24">
        <v>1</v>
      </c>
      <c r="F30" s="24">
        <v>2</v>
      </c>
      <c r="G30" s="41"/>
      <c r="H30" s="26" t="s">
        <v>90</v>
      </c>
      <c r="I30" s="5">
        <v>86372</v>
      </c>
      <c r="J30" s="5">
        <f t="shared" si="15"/>
        <v>19865.56</v>
      </c>
      <c r="K30" s="5">
        <v>44</v>
      </c>
      <c r="L30" s="5">
        <f t="shared" si="16"/>
        <v>4153.877551020409</v>
      </c>
      <c r="M30" s="37">
        <f t="shared" si="17"/>
        <v>74.53137404168017</v>
      </c>
      <c r="N30" s="41"/>
      <c r="O30" s="5">
        <f t="shared" si="18"/>
        <v>1492.5373134328358</v>
      </c>
      <c r="P30" s="5">
        <f t="shared" si="19"/>
        <v>2593.0134328358213</v>
      </c>
      <c r="Q30" s="5">
        <f t="shared" si="20"/>
        <v>3391.1845454545455</v>
      </c>
      <c r="R30" s="5">
        <f t="shared" si="21"/>
        <v>3362.1511940298506</v>
      </c>
      <c r="S30" s="5">
        <f t="shared" si="22"/>
        <v>1782.8358208955224</v>
      </c>
      <c r="T30" s="43">
        <f t="shared" si="23"/>
        <v>82.8790739799398</v>
      </c>
    </row>
    <row r="31" spans="1:20" s="4" customFormat="1" ht="15">
      <c r="A31" s="32" t="s">
        <v>185</v>
      </c>
      <c r="B31" s="33" t="s">
        <v>248</v>
      </c>
      <c r="C31" s="33" t="s">
        <v>99</v>
      </c>
      <c r="D31" s="33" t="s">
        <v>265</v>
      </c>
      <c r="E31" s="34">
        <v>1</v>
      </c>
      <c r="F31" s="34">
        <v>2</v>
      </c>
      <c r="G31" s="41"/>
      <c r="H31" s="35" t="s">
        <v>88</v>
      </c>
      <c r="I31" s="36">
        <v>79300</v>
      </c>
      <c r="J31" s="36">
        <f t="shared" si="15"/>
        <v>18239</v>
      </c>
      <c r="K31" s="36">
        <v>51</v>
      </c>
      <c r="L31" s="36">
        <f t="shared" si="16"/>
        <v>4153.877551020409</v>
      </c>
      <c r="M31" s="37">
        <f t="shared" si="17"/>
        <v>71.08193954273439</v>
      </c>
      <c r="N31" s="41"/>
      <c r="O31" s="36">
        <f t="shared" si="18"/>
        <v>1492.5373134328358</v>
      </c>
      <c r="P31" s="36">
        <f t="shared" si="19"/>
        <v>2593.0134328358213</v>
      </c>
      <c r="Q31" s="36">
        <f t="shared" si="20"/>
        <v>3391.1845454545455</v>
      </c>
      <c r="R31" s="36">
        <f t="shared" si="21"/>
        <v>3362.1511940298506</v>
      </c>
      <c r="S31" s="36">
        <f t="shared" si="22"/>
        <v>1782.8358208955224</v>
      </c>
      <c r="T31" s="44">
        <f t="shared" si="23"/>
        <v>79.70922751720369</v>
      </c>
    </row>
    <row r="32" spans="1:20" s="4" customFormat="1" ht="15">
      <c r="A32" s="21" t="s">
        <v>186</v>
      </c>
      <c r="B32" s="4" t="s">
        <v>84</v>
      </c>
      <c r="C32" s="4" t="s">
        <v>99</v>
      </c>
      <c r="D32" s="4" t="s">
        <v>265</v>
      </c>
      <c r="E32" s="24">
        <v>1</v>
      </c>
      <c r="F32" s="24">
        <v>2</v>
      </c>
      <c r="G32" s="41"/>
      <c r="H32" s="26" t="s">
        <v>88</v>
      </c>
      <c r="I32" s="5">
        <v>60162</v>
      </c>
      <c r="J32" s="5">
        <f t="shared" si="15"/>
        <v>13837.26</v>
      </c>
      <c r="K32" s="5">
        <v>52</v>
      </c>
      <c r="L32" s="5">
        <f t="shared" si="16"/>
        <v>4153.877551020409</v>
      </c>
      <c r="M32" s="37">
        <f t="shared" si="17"/>
        <v>55.256275790535994</v>
      </c>
      <c r="N32" s="41"/>
      <c r="O32" s="5">
        <f t="shared" si="18"/>
        <v>1492.5373134328358</v>
      </c>
      <c r="P32" s="5">
        <f t="shared" si="19"/>
        <v>2593.0134328358213</v>
      </c>
      <c r="Q32" s="5">
        <f t="shared" si="20"/>
        <v>3391.1845454545455</v>
      </c>
      <c r="R32" s="5">
        <f t="shared" si="21"/>
        <v>3362.1511940298506</v>
      </c>
      <c r="S32" s="5">
        <f t="shared" si="22"/>
        <v>1782.8358208955224</v>
      </c>
      <c r="T32" s="43">
        <f t="shared" si="23"/>
        <v>63.92504111103639</v>
      </c>
    </row>
    <row r="33" spans="1:20" s="4" customFormat="1" ht="15">
      <c r="A33" s="32" t="s">
        <v>187</v>
      </c>
      <c r="B33" s="33" t="s">
        <v>96</v>
      </c>
      <c r="C33" s="33" t="s">
        <v>99</v>
      </c>
      <c r="D33" s="33" t="s">
        <v>265</v>
      </c>
      <c r="E33" s="34">
        <v>1</v>
      </c>
      <c r="F33" s="34">
        <v>2</v>
      </c>
      <c r="G33" s="41"/>
      <c r="H33" s="35" t="s">
        <v>88</v>
      </c>
      <c r="I33" s="36">
        <v>61846</v>
      </c>
      <c r="J33" s="36">
        <f t="shared" si="15"/>
        <v>14224.58</v>
      </c>
      <c r="K33" s="36">
        <v>22</v>
      </c>
      <c r="L33" s="36">
        <f t="shared" si="16"/>
        <v>4153.877551020409</v>
      </c>
      <c r="M33" s="37">
        <f t="shared" si="17"/>
        <v>49.534488325942625</v>
      </c>
      <c r="N33" s="41"/>
      <c r="O33" s="36">
        <f t="shared" si="18"/>
        <v>1492.5373134328358</v>
      </c>
      <c r="P33" s="36">
        <f t="shared" si="19"/>
        <v>2593.0134328358213</v>
      </c>
      <c r="Q33" s="36">
        <f t="shared" si="20"/>
        <v>3391.1845454545455</v>
      </c>
      <c r="R33" s="36">
        <f t="shared" si="21"/>
        <v>3362.1511940298506</v>
      </c>
      <c r="S33" s="36">
        <f t="shared" si="22"/>
        <v>1782.8358208955224</v>
      </c>
      <c r="T33" s="44">
        <f t="shared" si="23"/>
        <v>57.11055213545558</v>
      </c>
    </row>
    <row r="34" spans="1:20" s="4" customFormat="1" ht="15">
      <c r="A34" s="21" t="s">
        <v>188</v>
      </c>
      <c r="B34" s="4" t="s">
        <v>128</v>
      </c>
      <c r="C34" s="4" t="s">
        <v>99</v>
      </c>
      <c r="D34" s="4" t="s">
        <v>265</v>
      </c>
      <c r="E34" s="24">
        <v>1</v>
      </c>
      <c r="F34" s="24">
        <v>2</v>
      </c>
      <c r="G34" s="41"/>
      <c r="H34" s="26" t="s">
        <v>87</v>
      </c>
      <c r="I34" s="5">
        <v>52429</v>
      </c>
      <c r="J34" s="5">
        <f t="shared" si="15"/>
        <v>12058.67</v>
      </c>
      <c r="K34" s="5">
        <v>22</v>
      </c>
      <c r="L34" s="5">
        <f t="shared" si="16"/>
        <v>4153.877551020409</v>
      </c>
      <c r="M34" s="37">
        <f t="shared" si="17"/>
        <v>42.5819613151383</v>
      </c>
      <c r="N34" s="41"/>
      <c r="O34" s="5">
        <f t="shared" si="18"/>
        <v>1492.5373134328358</v>
      </c>
      <c r="P34" s="5">
        <f t="shared" si="19"/>
        <v>2593.0134328358213</v>
      </c>
      <c r="Q34" s="5">
        <f t="shared" si="20"/>
        <v>3391.1845454545455</v>
      </c>
      <c r="R34" s="5">
        <f t="shared" si="21"/>
        <v>3362.1511940298506</v>
      </c>
      <c r="S34" s="5">
        <f t="shared" si="22"/>
        <v>1782.8358208955224</v>
      </c>
      <c r="T34" s="43">
        <f t="shared" si="23"/>
        <v>50.15802512465125</v>
      </c>
    </row>
    <row r="35" spans="1:20" s="4" customFormat="1" ht="15">
      <c r="A35" s="32" t="s">
        <v>189</v>
      </c>
      <c r="B35" s="33" t="s">
        <v>128</v>
      </c>
      <c r="C35" s="33" t="s">
        <v>99</v>
      </c>
      <c r="D35" s="33" t="s">
        <v>265</v>
      </c>
      <c r="E35" s="34">
        <v>1</v>
      </c>
      <c r="F35" s="34">
        <v>2</v>
      </c>
      <c r="G35" s="41"/>
      <c r="H35" s="38" t="s">
        <v>87</v>
      </c>
      <c r="I35" s="36">
        <v>45000</v>
      </c>
      <c r="J35" s="36">
        <f t="shared" si="15"/>
        <v>10350</v>
      </c>
      <c r="K35" s="36">
        <v>23</v>
      </c>
      <c r="L35" s="36">
        <f t="shared" si="16"/>
        <v>4153.877551020409</v>
      </c>
      <c r="M35" s="37">
        <f t="shared" si="17"/>
        <v>37.253693520807964</v>
      </c>
      <c r="N35" s="41"/>
      <c r="O35" s="36">
        <f t="shared" si="18"/>
        <v>1492.5373134328358</v>
      </c>
      <c r="P35" s="36">
        <f t="shared" si="19"/>
        <v>2593.0134328358213</v>
      </c>
      <c r="Q35" s="36">
        <f t="shared" si="20"/>
        <v>3391.1845454545455</v>
      </c>
      <c r="R35" s="36">
        <f t="shared" si="21"/>
        <v>3362.1511940298506</v>
      </c>
      <c r="S35" s="36">
        <f t="shared" si="22"/>
        <v>1782.8358208955224</v>
      </c>
      <c r="T35" s="44">
        <f t="shared" si="23"/>
        <v>44.861723844285095</v>
      </c>
    </row>
    <row r="36" spans="1:20" s="4" customFormat="1" ht="15">
      <c r="A36" s="21" t="s">
        <v>190</v>
      </c>
      <c r="B36" s="4" t="s">
        <v>85</v>
      </c>
      <c r="C36" s="4" t="s">
        <v>99</v>
      </c>
      <c r="D36" s="4" t="s">
        <v>265</v>
      </c>
      <c r="E36" s="24">
        <v>2</v>
      </c>
      <c r="F36" s="24">
        <v>2</v>
      </c>
      <c r="G36" s="41"/>
      <c r="H36" s="25" t="s">
        <v>87</v>
      </c>
      <c r="I36" s="5">
        <v>45000</v>
      </c>
      <c r="J36" s="5">
        <f t="shared" si="15"/>
        <v>10350</v>
      </c>
      <c r="K36" s="5">
        <v>24</v>
      </c>
      <c r="L36" s="5">
        <f t="shared" si="16"/>
        <v>1636.111111111111</v>
      </c>
      <c r="M36" s="37">
        <f t="shared" si="17"/>
        <v>35.88747645951036</v>
      </c>
      <c r="N36" s="41"/>
      <c r="O36" s="5">
        <f t="shared" si="18"/>
        <v>1492.5373134328358</v>
      </c>
      <c r="P36" s="5">
        <f t="shared" si="19"/>
        <v>2593.0134328358213</v>
      </c>
      <c r="Q36" s="5">
        <f t="shared" si="20"/>
        <v>3391.1845454545455</v>
      </c>
      <c r="R36" s="5">
        <f t="shared" si="21"/>
        <v>3362.1511940298506</v>
      </c>
      <c r="S36" s="5">
        <f t="shared" si="22"/>
        <v>1782.8358208955224</v>
      </c>
      <c r="T36" s="43">
        <f t="shared" si="23"/>
        <v>43.52774419961239</v>
      </c>
    </row>
    <row r="37" spans="1:20" s="4" customFormat="1" ht="15">
      <c r="A37" s="32" t="s">
        <v>191</v>
      </c>
      <c r="B37" s="33" t="s">
        <v>250</v>
      </c>
      <c r="C37" s="33" t="s">
        <v>99</v>
      </c>
      <c r="D37" s="33" t="s">
        <v>141</v>
      </c>
      <c r="E37" s="34">
        <v>1</v>
      </c>
      <c r="F37" s="34">
        <v>2</v>
      </c>
      <c r="G37" s="41"/>
      <c r="H37" s="35" t="s">
        <v>88</v>
      </c>
      <c r="I37" s="36">
        <v>60162</v>
      </c>
      <c r="J37" s="36">
        <f t="shared" si="15"/>
        <v>13837.26</v>
      </c>
      <c r="K37" s="36">
        <v>43</v>
      </c>
      <c r="L37" s="36">
        <f t="shared" si="16"/>
        <v>4153.877551020409</v>
      </c>
      <c r="M37" s="37">
        <f t="shared" si="17"/>
        <v>52.964540849914684</v>
      </c>
      <c r="N37" s="41"/>
      <c r="O37" s="36">
        <f t="shared" si="18"/>
        <v>1492.5373134328358</v>
      </c>
      <c r="P37" s="36">
        <f t="shared" si="19"/>
        <v>2593.0134328358213</v>
      </c>
      <c r="Q37" s="36">
        <f t="shared" si="20"/>
        <v>3391.1845454545455</v>
      </c>
      <c r="R37" s="36">
        <f t="shared" si="21"/>
        <v>3362.1511940298506</v>
      </c>
      <c r="S37" s="36">
        <f t="shared" si="22"/>
        <v>1782.8358208955224</v>
      </c>
      <c r="T37" s="44">
        <f t="shared" si="23"/>
        <v>61.27377212486437</v>
      </c>
    </row>
    <row r="38" spans="1:20" s="4" customFormat="1" ht="15">
      <c r="A38" s="162"/>
      <c r="B38" s="163"/>
      <c r="C38" s="163"/>
      <c r="D38" s="163"/>
      <c r="E38" s="163"/>
      <c r="F38" s="163"/>
      <c r="G38" s="163"/>
      <c r="H38" s="163"/>
      <c r="I38" s="163"/>
      <c r="J38" s="163"/>
      <c r="K38" s="163"/>
      <c r="L38" s="163"/>
      <c r="M38" s="163"/>
      <c r="N38" s="41"/>
      <c r="O38" s="5"/>
      <c r="P38" s="5"/>
      <c r="Q38" s="5"/>
      <c r="R38" s="5"/>
      <c r="S38" s="5"/>
      <c r="T38" s="43"/>
    </row>
    <row r="39" spans="1:20" s="4" customFormat="1" ht="15">
      <c r="A39" s="32" t="s">
        <v>192</v>
      </c>
      <c r="B39" s="33" t="s">
        <v>252</v>
      </c>
      <c r="C39" s="33" t="s">
        <v>100</v>
      </c>
      <c r="D39" s="33" t="s">
        <v>260</v>
      </c>
      <c r="E39" s="34">
        <v>1</v>
      </c>
      <c r="F39" s="34">
        <v>2</v>
      </c>
      <c r="G39" s="41"/>
      <c r="H39" s="38" t="s">
        <v>91</v>
      </c>
      <c r="I39" s="36">
        <v>87927</v>
      </c>
      <c r="J39" s="36">
        <f aca="true" t="shared" si="24" ref="J39:J44">IF(F39=1,I39*Bargaining_unit_1_benefit,I39*bargaining_unit_2_benefit)</f>
        <v>20223.21</v>
      </c>
      <c r="K39" s="36">
        <v>43</v>
      </c>
      <c r="L39" s="36">
        <f>IF(E39=1,(loc_1_sf/loc_1_staff)*cost_per_sf_1,(loc_2_sf/loc_2_staff)*cost_per_sf_2)</f>
        <v>4153.877551020409</v>
      </c>
      <c r="M39" s="37">
        <f aca="true" t="shared" si="25" ref="M39:M44">((I39+J39)+equipment_cost_per_person+L39)/(working_hours_per_year-(K39*Working_hours_per_day))</f>
        <v>75.44706224556973</v>
      </c>
      <c r="N39" s="41"/>
      <c r="O39" s="36">
        <f aca="true" t="shared" si="26" ref="O39:O44">CIO_Levy/total_staff</f>
        <v>1492.5373134328358</v>
      </c>
      <c r="P39" s="36">
        <f aca="true" t="shared" si="27" ref="P39:P44">institutional_overhead/total_staff</f>
        <v>2593.0134328358213</v>
      </c>
      <c r="Q39" s="36"/>
      <c r="R39" s="36">
        <f aca="true" t="shared" si="28" ref="R39:R44">Manager_assess</f>
        <v>3362.1511940298506</v>
      </c>
      <c r="S39" s="36">
        <f aca="true" t="shared" si="29" ref="S39:S44">Admin_costs/total_staff</f>
        <v>1782.8358208955224</v>
      </c>
      <c r="T39" s="44">
        <f aca="true" t="shared" si="30" ref="T39:T44">((I39+J39)+equipment_cost_per_person+L39+O39+P39+Q39+R39+S39)/(working_hours_per_year-(K39*7))</f>
        <v>81.52378229902202</v>
      </c>
    </row>
    <row r="40" spans="1:20" s="4" customFormat="1" ht="15">
      <c r="A40" s="21" t="s">
        <v>193</v>
      </c>
      <c r="B40" s="4" t="s">
        <v>253</v>
      </c>
      <c r="C40" s="4" t="s">
        <v>100</v>
      </c>
      <c r="D40" s="4" t="s">
        <v>266</v>
      </c>
      <c r="E40" s="24">
        <v>1</v>
      </c>
      <c r="F40" s="24">
        <v>1</v>
      </c>
      <c r="G40" s="41"/>
      <c r="H40" s="25" t="s">
        <v>86</v>
      </c>
      <c r="I40" s="5">
        <v>62891</v>
      </c>
      <c r="J40" s="5">
        <f t="shared" si="24"/>
        <v>14779.384999999998</v>
      </c>
      <c r="K40" s="5">
        <v>27</v>
      </c>
      <c r="L40" s="5">
        <f>IF(E40=1,(loc_1_sf/loc_1_staff)*cost_per_sf_1,(loc_2_sf/loc_2_staff)*cost_per_sf_2)</f>
        <v>4153.877551020409</v>
      </c>
      <c r="M40" s="37">
        <f t="shared" si="25"/>
        <v>51.57833387554899</v>
      </c>
      <c r="N40" s="41"/>
      <c r="O40" s="5">
        <f t="shared" si="26"/>
        <v>1492.5373134328358</v>
      </c>
      <c r="P40" s="5">
        <f t="shared" si="27"/>
        <v>2593.0134328358213</v>
      </c>
      <c r="Q40" s="5">
        <f>((I39+J39)*supervisor_assess)/9.5</f>
        <v>5692.116315789473</v>
      </c>
      <c r="R40" s="5">
        <f t="shared" si="28"/>
        <v>3362.1511940298506</v>
      </c>
      <c r="S40" s="5">
        <f t="shared" si="29"/>
        <v>1782.8358208955224</v>
      </c>
      <c r="T40" s="43">
        <f t="shared" si="30"/>
        <v>60.72772325444753</v>
      </c>
    </row>
    <row r="41" spans="1:20" s="4" customFormat="1" ht="15">
      <c r="A41" s="32" t="s">
        <v>194</v>
      </c>
      <c r="B41" s="33" t="s">
        <v>254</v>
      </c>
      <c r="C41" s="33" t="s">
        <v>100</v>
      </c>
      <c r="D41" s="33" t="s">
        <v>266</v>
      </c>
      <c r="E41" s="34">
        <v>1</v>
      </c>
      <c r="F41" s="34">
        <v>1</v>
      </c>
      <c r="G41" s="41"/>
      <c r="H41" s="38" t="s">
        <v>86</v>
      </c>
      <c r="I41" s="36">
        <v>57968</v>
      </c>
      <c r="J41" s="36">
        <f t="shared" si="24"/>
        <v>13622.48</v>
      </c>
      <c r="K41" s="36">
        <v>17</v>
      </c>
      <c r="L41" s="36">
        <f>IF(E41=1,(loc_1_sf/loc_1_staff)*cost_per_sf_1,(loc_2_sf/loc_2_staff)*cost_per_sf_2)</f>
        <v>4153.877551020409</v>
      </c>
      <c r="M41" s="37">
        <f t="shared" si="25"/>
        <v>45.88145652617308</v>
      </c>
      <c r="N41" s="41"/>
      <c r="O41" s="36">
        <f t="shared" si="26"/>
        <v>1492.5373134328358</v>
      </c>
      <c r="P41" s="36">
        <f t="shared" si="27"/>
        <v>2593.0134328358213</v>
      </c>
      <c r="Q41" s="36">
        <f>Evan_Levy</f>
        <v>5692.116315789473</v>
      </c>
      <c r="R41" s="36">
        <f t="shared" si="28"/>
        <v>3362.1511940298506</v>
      </c>
      <c r="S41" s="36">
        <f t="shared" si="29"/>
        <v>1782.8358208955224</v>
      </c>
      <c r="T41" s="44">
        <f t="shared" si="30"/>
        <v>54.65432782363546</v>
      </c>
    </row>
    <row r="42" spans="1:20" s="4" customFormat="1" ht="15">
      <c r="A42" s="21" t="s">
        <v>195</v>
      </c>
      <c r="B42" s="4" t="s">
        <v>253</v>
      </c>
      <c r="C42" s="4" t="s">
        <v>100</v>
      </c>
      <c r="D42" s="4" t="s">
        <v>266</v>
      </c>
      <c r="E42" s="24">
        <v>1</v>
      </c>
      <c r="F42" s="24">
        <v>1</v>
      </c>
      <c r="G42" s="41"/>
      <c r="H42" s="25" t="s">
        <v>86</v>
      </c>
      <c r="I42" s="5">
        <v>55706</v>
      </c>
      <c r="J42" s="5">
        <f t="shared" si="24"/>
        <v>13090.91</v>
      </c>
      <c r="K42" s="5">
        <v>17</v>
      </c>
      <c r="L42" s="5">
        <f>IF(E42=1,(loc_1_sf/loc_1_staff)*cost_per_sf_1,(loc_2_sf/loc_2_staff)*cost_per_sf_2)</f>
        <v>4153.877551020409</v>
      </c>
      <c r="M42" s="37">
        <f t="shared" si="25"/>
        <v>44.23914612052935</v>
      </c>
      <c r="N42" s="41"/>
      <c r="O42" s="5">
        <f t="shared" si="26"/>
        <v>1492.5373134328358</v>
      </c>
      <c r="P42" s="5">
        <f t="shared" si="27"/>
        <v>2593.0134328358213</v>
      </c>
      <c r="Q42" s="5">
        <f>Evan_Levy</f>
        <v>5692.116315789473</v>
      </c>
      <c r="R42" s="5">
        <f t="shared" si="28"/>
        <v>3362.1511940298506</v>
      </c>
      <c r="S42" s="5">
        <f t="shared" si="29"/>
        <v>1782.8358208955224</v>
      </c>
      <c r="T42" s="43">
        <f t="shared" si="30"/>
        <v>53.01201741799173</v>
      </c>
    </row>
    <row r="43" spans="1:20" s="4" customFormat="1" ht="15">
      <c r="A43" s="32" t="s">
        <v>196</v>
      </c>
      <c r="B43" s="33" t="s">
        <v>262</v>
      </c>
      <c r="C43" s="33" t="s">
        <v>100</v>
      </c>
      <c r="D43" s="33" t="s">
        <v>266</v>
      </c>
      <c r="E43" s="34">
        <v>1</v>
      </c>
      <c r="F43" s="34">
        <v>2</v>
      </c>
      <c r="G43" s="41"/>
      <c r="H43" s="38" t="s">
        <v>88</v>
      </c>
      <c r="I43" s="36">
        <v>60000</v>
      </c>
      <c r="J43" s="36">
        <f t="shared" si="24"/>
        <v>13800</v>
      </c>
      <c r="K43" s="36">
        <v>22</v>
      </c>
      <c r="L43" s="36">
        <f>IF(E43=1,(loc_1_sf/loc_1_staff)*cost_per_sf_1,(loc_2_sf/loc_2_staff)*cost_per_sf_2)</f>
        <v>4153.877551020409</v>
      </c>
      <c r="M43" s="37">
        <f t="shared" si="25"/>
        <v>48.17159516867972</v>
      </c>
      <c r="N43" s="41"/>
      <c r="O43" s="36">
        <f t="shared" si="26"/>
        <v>1492.5373134328358</v>
      </c>
      <c r="P43" s="36">
        <f t="shared" si="27"/>
        <v>2593.0134328358213</v>
      </c>
      <c r="Q43" s="36">
        <f>Evan_Levy</f>
        <v>5692.116315789473</v>
      </c>
      <c r="R43" s="36">
        <f t="shared" si="28"/>
        <v>3362.1511940298506</v>
      </c>
      <c r="S43" s="36">
        <f t="shared" si="29"/>
        <v>1782.8358208955224</v>
      </c>
      <c r="T43" s="44">
        <f t="shared" si="30"/>
        <v>57.12877048499635</v>
      </c>
    </row>
    <row r="44" spans="1:20" s="4" customFormat="1" ht="15">
      <c r="A44" s="21" t="s">
        <v>197</v>
      </c>
      <c r="B44" s="4" t="s">
        <v>255</v>
      </c>
      <c r="C44" s="4" t="s">
        <v>100</v>
      </c>
      <c r="D44" s="4" t="s">
        <v>266</v>
      </c>
      <c r="E44" s="24">
        <v>2</v>
      </c>
      <c r="F44" s="24">
        <v>1</v>
      </c>
      <c r="G44" s="41"/>
      <c r="H44" s="25" t="s">
        <v>86</v>
      </c>
      <c r="I44" s="5">
        <v>64778</v>
      </c>
      <c r="J44" s="5">
        <f t="shared" si="24"/>
        <v>15222.83</v>
      </c>
      <c r="K44" s="5">
        <v>27</v>
      </c>
      <c r="L44" s="5">
        <f>IF(E44=1,(loc_1_sf/loc_1_staff)*cost_per_sf_1,(loc_2_sf/loc_2_staff)*cost_per_sf_2)/2</f>
        <v>818.0555555555555</v>
      </c>
      <c r="M44" s="37">
        <f t="shared" si="25"/>
        <v>50.961916343075146</v>
      </c>
      <c r="N44" s="41"/>
      <c r="O44" s="5">
        <f t="shared" si="26"/>
        <v>1492.5373134328358</v>
      </c>
      <c r="P44" s="5">
        <f t="shared" si="27"/>
        <v>2593.0134328358213</v>
      </c>
      <c r="Q44" s="5">
        <f>Evan_Levy/2</f>
        <v>2846.0581578947367</v>
      </c>
      <c r="R44" s="5">
        <f t="shared" si="28"/>
        <v>3362.1511940298506</v>
      </c>
      <c r="S44" s="5">
        <f t="shared" si="29"/>
        <v>1782.8358208955224</v>
      </c>
      <c r="T44" s="43">
        <f t="shared" si="30"/>
        <v>58.36632831063417</v>
      </c>
    </row>
    <row r="45" spans="1:20" s="4" customFormat="1" ht="15">
      <c r="A45" s="162"/>
      <c r="B45" s="163"/>
      <c r="C45" s="163"/>
      <c r="D45" s="163"/>
      <c r="E45" s="163"/>
      <c r="F45" s="163"/>
      <c r="G45" s="163"/>
      <c r="H45" s="163"/>
      <c r="I45" s="163"/>
      <c r="J45" s="163"/>
      <c r="K45" s="163"/>
      <c r="L45" s="163"/>
      <c r="M45" s="163"/>
      <c r="N45" s="41"/>
      <c r="O45" s="5"/>
      <c r="P45" s="5"/>
      <c r="Q45" s="5"/>
      <c r="R45" s="5"/>
      <c r="S45" s="5"/>
      <c r="T45" s="43"/>
    </row>
    <row r="46" spans="1:20" s="4" customFormat="1" ht="15">
      <c r="A46" s="32" t="s">
        <v>198</v>
      </c>
      <c r="B46" s="33" t="s">
        <v>257</v>
      </c>
      <c r="C46" s="33" t="s">
        <v>101</v>
      </c>
      <c r="D46" s="33" t="s">
        <v>204</v>
      </c>
      <c r="E46" s="34">
        <v>1</v>
      </c>
      <c r="F46" s="34">
        <v>2</v>
      </c>
      <c r="G46" s="41"/>
      <c r="H46" s="38" t="s">
        <v>90</v>
      </c>
      <c r="I46" s="36">
        <v>81730</v>
      </c>
      <c r="J46" s="36">
        <f>IF(F46=1,I46*Bargaining_unit_1_benefit,I46*bargaining_unit_2_benefit)</f>
        <v>18797.9</v>
      </c>
      <c r="K46" s="36">
        <v>44</v>
      </c>
      <c r="L46" s="36">
        <f>IF(E46=1,(loc_1_sf/loc_1_staff)*cost_per_sf_1,(loc_2_sf/loc_2_staff)*cost_per_sf_2)</f>
        <v>4153.877551020409</v>
      </c>
      <c r="M46" s="37">
        <f>((I46+J46)+equipment_cost_per_person+L46)/(working_hours_per_year-(K46*Working_hours_per_day))</f>
        <v>70.75514388295001</v>
      </c>
      <c r="N46" s="41"/>
      <c r="O46" s="36">
        <f>CIO_Levy/total_staff</f>
        <v>1492.5373134328358</v>
      </c>
      <c r="P46" s="36">
        <f>institutional_overhead/total_staff</f>
        <v>2593.0134328358213</v>
      </c>
      <c r="Q46" s="36">
        <f>Evan_Levy</f>
        <v>5692.116315789473</v>
      </c>
      <c r="R46" s="36">
        <f>Manager_assess</f>
        <v>3362.1511940298506</v>
      </c>
      <c r="S46" s="36">
        <f>Admin_costs/total_staff</f>
        <v>1782.8358208955224</v>
      </c>
      <c r="T46" s="44">
        <f>((I46+J46)+equipment_cost_per_person+L46+O46+P46+Q46+R46+S46)/(working_hours_per_year-(K46*7))</f>
        <v>80.62462409259518</v>
      </c>
    </row>
    <row r="47" spans="1:20" s="4" customFormat="1" ht="15">
      <c r="A47" s="21" t="s">
        <v>199</v>
      </c>
      <c r="B47" s="4" t="s">
        <v>139</v>
      </c>
      <c r="C47" s="4" t="s">
        <v>101</v>
      </c>
      <c r="D47" s="4" t="s">
        <v>25</v>
      </c>
      <c r="E47" s="24">
        <v>1</v>
      </c>
      <c r="F47" s="24">
        <v>1</v>
      </c>
      <c r="G47" s="41"/>
      <c r="H47" s="25" t="s">
        <v>86</v>
      </c>
      <c r="I47" s="5">
        <v>62891</v>
      </c>
      <c r="J47" s="5">
        <f>IF(F47=1,I47*Bargaining_unit_1_benefit,I47*bargaining_unit_2_benefit)</f>
        <v>14779.384999999998</v>
      </c>
      <c r="K47" s="5">
        <v>27</v>
      </c>
      <c r="L47" s="5">
        <f>IF(E47=1,(loc_1_sf/loc_1_staff)*cost_per_sf_1,(loc_2_sf/loc_2_staff)*cost_per_sf_2)</f>
        <v>4153.877551020409</v>
      </c>
      <c r="M47" s="37">
        <f>((I47+J47)+equipment_cost_per_person+L47)/(working_hours_per_year-(K47*Working_hours_per_day))</f>
        <v>51.57833387554899</v>
      </c>
      <c r="N47" s="41"/>
      <c r="O47" s="5">
        <f>CIO_Levy/total_staff</f>
        <v>1492.5373134328358</v>
      </c>
      <c r="P47" s="5">
        <f>institutional_overhead/total_staff</f>
        <v>2593.0134328358213</v>
      </c>
      <c r="Q47" s="5">
        <f>Greg_Levy</f>
        <v>5692.116315789473</v>
      </c>
      <c r="R47" s="5">
        <f>Manager_assess</f>
        <v>3362.1511940298506</v>
      </c>
      <c r="S47" s="5">
        <f>Admin_costs/total_staff</f>
        <v>1782.8358208955224</v>
      </c>
      <c r="T47" s="43">
        <f>((I47+J47)+equipment_cost_per_person+L47+O47+P47+Q47+R47+S47)/(working_hours_per_year-(K47*7))</f>
        <v>60.72772325444753</v>
      </c>
    </row>
    <row r="48" spans="1:20" s="4" customFormat="1" ht="15">
      <c r="A48" s="32" t="s">
        <v>200</v>
      </c>
      <c r="B48" s="32" t="s">
        <v>51</v>
      </c>
      <c r="C48" s="33" t="s">
        <v>101</v>
      </c>
      <c r="D48" s="33" t="s">
        <v>51</v>
      </c>
      <c r="E48" s="34">
        <v>1</v>
      </c>
      <c r="F48" s="34">
        <v>2</v>
      </c>
      <c r="G48" s="41"/>
      <c r="H48" s="38" t="s">
        <v>88</v>
      </c>
      <c r="I48" s="36">
        <v>75039</v>
      </c>
      <c r="J48" s="36">
        <f>IF(F48=1,I48*Bargaining_unit_1_benefit,I48*bargaining_unit_2_benefit)</f>
        <v>17258.97</v>
      </c>
      <c r="K48" s="36">
        <v>43</v>
      </c>
      <c r="L48" s="36">
        <f>IF(E48=1,(loc_1_sf/loc_1_staff)*cost_per_sf_1,(loc_2_sf/loc_2_staff)*cost_per_sf_2)</f>
        <v>4153.877551020409</v>
      </c>
      <c r="M48" s="37">
        <f>((I48+J48)+equipment_cost_per_person+L48)/(working_hours_per_year-(K48*Working_hours_per_day))</f>
        <v>65.01109121199501</v>
      </c>
      <c r="N48" s="41"/>
      <c r="O48" s="36">
        <f>CIO_Levy/total_staff</f>
        <v>1492.5373134328358</v>
      </c>
      <c r="P48" s="36">
        <f>institutional_overhead/total_staff</f>
        <v>2593.0134328358213</v>
      </c>
      <c r="Q48" s="36">
        <f>Greg_Levy</f>
        <v>5692.116315789473</v>
      </c>
      <c r="R48" s="36">
        <f>Manager_assess</f>
        <v>3362.1511940298506</v>
      </c>
      <c r="S48" s="36">
        <f>Admin_costs/total_staff</f>
        <v>1782.8358208955224</v>
      </c>
      <c r="T48" s="44">
        <f>((I48+J48)+equipment_cost_per_person+L48+O48+P48+Q48+R48+S48)/(working_hours_per_year-(K48*7))</f>
        <v>74.8350899460197</v>
      </c>
    </row>
    <row r="49" spans="1:20" s="4" customFormat="1" ht="15">
      <c r="A49" s="21" t="s">
        <v>201</v>
      </c>
      <c r="B49" s="4" t="s">
        <v>258</v>
      </c>
      <c r="C49" s="4" t="s">
        <v>101</v>
      </c>
      <c r="D49" s="4" t="s">
        <v>266</v>
      </c>
      <c r="E49" s="24">
        <v>1</v>
      </c>
      <c r="F49" s="24">
        <v>1</v>
      </c>
      <c r="G49" s="41"/>
      <c r="H49" s="25" t="s">
        <v>86</v>
      </c>
      <c r="I49" s="5">
        <v>64778</v>
      </c>
      <c r="J49" s="5">
        <f>IF(F49=1,I49*Bargaining_unit_1_benefit,I49*bargaining_unit_2_benefit)</f>
        <v>15222.83</v>
      </c>
      <c r="K49" s="5">
        <v>27</v>
      </c>
      <c r="L49" s="5">
        <f>IF(E49=1,(loc_1_sf/loc_1_staff)*cost_per_sf_1,(loc_2_sf/loc_2_staff)*cost_per_sf_2)</f>
        <v>4153.877551020409</v>
      </c>
      <c r="M49" s="37">
        <f>((I49+J49)+equipment_cost_per_person+L49)/(working_hours_per_year-(K49*Working_hours_per_day))</f>
        <v>53.00717814286966</v>
      </c>
      <c r="N49" s="41"/>
      <c r="O49" s="5">
        <f>CIO_Levy/total_staff</f>
        <v>1492.5373134328358</v>
      </c>
      <c r="P49" s="5">
        <f>institutional_overhead/total_staff</f>
        <v>2593.0134328358213</v>
      </c>
      <c r="Q49" s="5">
        <f>Greg_Levy</f>
        <v>5692.116315789473</v>
      </c>
      <c r="R49" s="5">
        <f>Manager_assess</f>
        <v>3362.1511940298506</v>
      </c>
      <c r="S49" s="5">
        <f>Admin_costs/total_staff</f>
        <v>1782.8358208955224</v>
      </c>
      <c r="T49" s="43">
        <f>((I49+J49)+equipment_cost_per_person+L49+O49+P49+Q49+R49+S49)/(working_hours_per_year-(K49*7))</f>
        <v>62.156567521768196</v>
      </c>
    </row>
    <row r="50" spans="1:20" s="4" customFormat="1" ht="15">
      <c r="A50" s="32" t="s">
        <v>202</v>
      </c>
      <c r="B50" s="32" t="s">
        <v>204</v>
      </c>
      <c r="C50" s="33" t="s">
        <v>101</v>
      </c>
      <c r="D50" s="33" t="s">
        <v>204</v>
      </c>
      <c r="E50" s="34">
        <v>1</v>
      </c>
      <c r="F50" s="34">
        <v>2</v>
      </c>
      <c r="G50" s="41"/>
      <c r="H50" s="38" t="s">
        <v>90</v>
      </c>
      <c r="I50" s="36">
        <v>90983</v>
      </c>
      <c r="J50" s="36">
        <f>IF(F50=1,I50*Bargaining_unit_1_benefit,I50*bargaining_unit_2_benefit)</f>
        <v>20926.09</v>
      </c>
      <c r="K50" s="36">
        <v>51</v>
      </c>
      <c r="L50" s="36">
        <f>IF(E50=1,(loc_1_sf/loc_1_staff)*cost_per_sf_1,(loc_2_sf/loc_2_staff)*cost_per_sf_2)</f>
        <v>4153.877551020409</v>
      </c>
      <c r="M50" s="37">
        <f>((I50+J50)+equipment_cost_per_person+L50)/(working_hours_per_year-(K50*Working_hours_per_day))</f>
        <v>80.90428404034205</v>
      </c>
      <c r="N50" s="41"/>
      <c r="O50" s="36">
        <f>CIO_Levy/total_staff</f>
        <v>1492.5373134328358</v>
      </c>
      <c r="P50" s="36">
        <f>institutional_overhead/total_staff</f>
        <v>2593.0134328358213</v>
      </c>
      <c r="Q50" s="36">
        <f>Greg_Levy</f>
        <v>5692.116315789473</v>
      </c>
      <c r="R50" s="36">
        <f>Manager_assess</f>
        <v>3362.1511940298506</v>
      </c>
      <c r="S50" s="36">
        <f>Admin_costs/total_staff</f>
        <v>1782.8358208955224</v>
      </c>
      <c r="T50" s="44">
        <f>((I50+J50)+equipment_cost_per_person+L50+O50+P50+Q50+R50+S50)/(working_hours_per_year-(K50*7))</f>
        <v>91.10432100342031</v>
      </c>
    </row>
    <row r="51" spans="1:20" s="4" customFormat="1" ht="15">
      <c r="A51" s="162"/>
      <c r="B51" s="163"/>
      <c r="C51" s="163"/>
      <c r="D51" s="163"/>
      <c r="E51" s="163"/>
      <c r="F51" s="163"/>
      <c r="G51" s="163"/>
      <c r="H51" s="163"/>
      <c r="I51" s="163"/>
      <c r="J51" s="163"/>
      <c r="K51" s="163"/>
      <c r="L51" s="163"/>
      <c r="M51" s="163"/>
      <c r="N51" s="12"/>
      <c r="O51" s="5"/>
      <c r="P51" s="5"/>
      <c r="Q51" s="5"/>
      <c r="R51" s="5"/>
      <c r="S51" s="5"/>
      <c r="T51" s="43"/>
    </row>
    <row r="52" spans="1:20" s="4" customFormat="1" ht="15">
      <c r="A52" s="32" t="s">
        <v>203</v>
      </c>
      <c r="B52" s="33" t="s">
        <v>140</v>
      </c>
      <c r="C52" s="33" t="s">
        <v>102</v>
      </c>
      <c r="D52" s="33" t="s">
        <v>260</v>
      </c>
      <c r="E52" s="34">
        <v>1</v>
      </c>
      <c r="F52" s="34">
        <v>2</v>
      </c>
      <c r="G52" s="41"/>
      <c r="H52" s="38" t="s">
        <v>90</v>
      </c>
      <c r="I52" s="36">
        <v>90983</v>
      </c>
      <c r="J52" s="36">
        <f aca="true" t="shared" si="31" ref="J52:J59">IF(F52=1,I52*Bargaining_unit_1_benefit,I52*bargaining_unit_2_benefit)</f>
        <v>20926.09</v>
      </c>
      <c r="K52" s="36">
        <v>44</v>
      </c>
      <c r="L52" s="36">
        <f aca="true" t="shared" si="32" ref="L52:L59">IF(E52=1,(loc_1_sf/loc_1_staff)*cost_per_sf_1,(loc_2_sf/loc_2_staff)*cost_per_sf_2)</f>
        <v>4153.877551020409</v>
      </c>
      <c r="M52" s="37">
        <f aca="true" t="shared" si="33" ref="M52:M59">((I52+J52)+equipment_cost_per_person+L52)/(working_hours_per_year-(K52*Working_hours_per_day))</f>
        <v>78.28238594644208</v>
      </c>
      <c r="N52" s="41"/>
      <c r="O52" s="36">
        <f aca="true" t="shared" si="34" ref="O52:O59">CIO_Levy/total_staff</f>
        <v>1492.5373134328358</v>
      </c>
      <c r="P52" s="36">
        <f aca="true" t="shared" si="35" ref="P52:P59">institutional_overhead/total_staff</f>
        <v>2593.0134328358213</v>
      </c>
      <c r="Q52" s="36"/>
      <c r="R52" s="36">
        <f aca="true" t="shared" si="36" ref="R52:R59">Manager_assess</f>
        <v>3362.1511940298506</v>
      </c>
      <c r="S52" s="36">
        <f aca="true" t="shared" si="37" ref="S52:S59">Admin_costs/total_staff</f>
        <v>1782.8358208955224</v>
      </c>
      <c r="T52" s="44">
        <f aca="true" t="shared" si="38" ref="T52:T59">((I52+J52)+equipment_cost_per_person+L52+O52+P52+Q52+R52+S52)/(working_hours_per_year-(K52*7))</f>
        <v>84.38723896310479</v>
      </c>
    </row>
    <row r="53" spans="1:20" s="4" customFormat="1" ht="15">
      <c r="A53" s="21" t="s">
        <v>53</v>
      </c>
      <c r="B53" s="4" t="s">
        <v>141</v>
      </c>
      <c r="C53" s="4" t="s">
        <v>102</v>
      </c>
      <c r="D53" s="4" t="s">
        <v>141</v>
      </c>
      <c r="E53" s="24">
        <v>1</v>
      </c>
      <c r="F53" s="24">
        <v>2</v>
      </c>
      <c r="G53" s="41"/>
      <c r="H53" s="25" t="s">
        <v>88</v>
      </c>
      <c r="I53" s="5">
        <v>62700</v>
      </c>
      <c r="J53" s="5">
        <f t="shared" si="31"/>
        <v>14421</v>
      </c>
      <c r="K53" s="5">
        <v>43</v>
      </c>
      <c r="L53" s="5">
        <f t="shared" si="32"/>
        <v>4153.877551020409</v>
      </c>
      <c r="M53" s="37">
        <f t="shared" si="33"/>
        <v>55.01966922384491</v>
      </c>
      <c r="N53" s="41"/>
      <c r="O53" s="5">
        <f t="shared" si="34"/>
        <v>1492.5373134328358</v>
      </c>
      <c r="P53" s="5">
        <f t="shared" si="35"/>
        <v>2593.0134328358213</v>
      </c>
      <c r="Q53" s="5">
        <f aca="true" t="shared" si="39" ref="Q53:Q59">AJ_Levy</f>
        <v>7993.506428571428</v>
      </c>
      <c r="R53" s="5">
        <f t="shared" si="36"/>
        <v>3362.1511940298506</v>
      </c>
      <c r="S53" s="5">
        <f t="shared" si="37"/>
        <v>1782.8358208955224</v>
      </c>
      <c r="T53" s="43">
        <f t="shared" si="38"/>
        <v>66.35873715654107</v>
      </c>
    </row>
    <row r="54" spans="1:20" s="4" customFormat="1" ht="15">
      <c r="A54" s="32" t="s">
        <v>54</v>
      </c>
      <c r="B54" s="33" t="s">
        <v>141</v>
      </c>
      <c r="C54" s="33" t="s">
        <v>102</v>
      </c>
      <c r="D54" s="33" t="s">
        <v>141</v>
      </c>
      <c r="E54" s="34">
        <v>1</v>
      </c>
      <c r="F54" s="34">
        <v>2</v>
      </c>
      <c r="G54" s="41"/>
      <c r="H54" s="38" t="s">
        <v>88</v>
      </c>
      <c r="I54" s="36">
        <v>77140</v>
      </c>
      <c r="J54" s="36">
        <f t="shared" si="31"/>
        <v>17742.2</v>
      </c>
      <c r="K54" s="36">
        <v>44</v>
      </c>
      <c r="L54" s="36">
        <f t="shared" si="32"/>
        <v>4153.877551020409</v>
      </c>
      <c r="M54" s="37">
        <f t="shared" si="33"/>
        <v>67.02121531152143</v>
      </c>
      <c r="N54" s="41"/>
      <c r="O54" s="36">
        <f t="shared" si="34"/>
        <v>1492.5373134328358</v>
      </c>
      <c r="P54" s="36">
        <f t="shared" si="35"/>
        <v>2593.0134328358213</v>
      </c>
      <c r="Q54" s="36">
        <f>((I52+J52)*supervisor_assess)/7</f>
        <v>7993.506428571428</v>
      </c>
      <c r="R54" s="36">
        <f t="shared" si="36"/>
        <v>3362.1511940298506</v>
      </c>
      <c r="S54" s="36">
        <f t="shared" si="37"/>
        <v>1782.8358208955224</v>
      </c>
      <c r="T54" s="44">
        <f t="shared" si="38"/>
        <v>78.41277892909119</v>
      </c>
    </row>
    <row r="55" spans="1:20" s="4" customFormat="1" ht="15">
      <c r="A55" s="21" t="s">
        <v>55</v>
      </c>
      <c r="B55" s="4" t="s">
        <v>142</v>
      </c>
      <c r="C55" s="4" t="s">
        <v>102</v>
      </c>
      <c r="D55" s="4" t="s">
        <v>142</v>
      </c>
      <c r="E55" s="24">
        <v>2</v>
      </c>
      <c r="F55" s="24">
        <v>2</v>
      </c>
      <c r="G55" s="41"/>
      <c r="H55" s="25" t="s">
        <v>87</v>
      </c>
      <c r="I55" s="5">
        <v>63485</v>
      </c>
      <c r="J55" s="5">
        <f t="shared" si="31"/>
        <v>14601.550000000001</v>
      </c>
      <c r="K55" s="5">
        <v>43</v>
      </c>
      <c r="L55" s="5">
        <f t="shared" si="32"/>
        <v>1636.111111111111</v>
      </c>
      <c r="M55" s="37">
        <f t="shared" si="33"/>
        <v>53.99780191646551</v>
      </c>
      <c r="N55" s="41"/>
      <c r="O55" s="5">
        <f t="shared" si="34"/>
        <v>1492.5373134328358</v>
      </c>
      <c r="P55" s="5">
        <f t="shared" si="35"/>
        <v>2593.0134328358213</v>
      </c>
      <c r="Q55" s="5">
        <f t="shared" si="39"/>
        <v>7993.506428571428</v>
      </c>
      <c r="R55" s="5">
        <f t="shared" si="36"/>
        <v>3362.1511940298506</v>
      </c>
      <c r="S55" s="5">
        <f t="shared" si="37"/>
        <v>1782.8358208955224</v>
      </c>
      <c r="T55" s="43">
        <f t="shared" si="38"/>
        <v>65.33686984916167</v>
      </c>
    </row>
    <row r="56" spans="1:20" ht="15">
      <c r="A56" s="32" t="s">
        <v>56</v>
      </c>
      <c r="B56" s="33" t="s">
        <v>141</v>
      </c>
      <c r="C56" s="33" t="s">
        <v>102</v>
      </c>
      <c r="D56" s="33" t="s">
        <v>141</v>
      </c>
      <c r="E56" s="34">
        <v>2</v>
      </c>
      <c r="F56" s="34">
        <v>2</v>
      </c>
      <c r="G56" s="41"/>
      <c r="H56" s="38" t="s">
        <v>88</v>
      </c>
      <c r="I56" s="36">
        <v>63569</v>
      </c>
      <c r="J56" s="36">
        <f t="shared" si="31"/>
        <v>14620.87</v>
      </c>
      <c r="K56" s="39">
        <v>43</v>
      </c>
      <c r="L56" s="36">
        <f t="shared" si="32"/>
        <v>1636.111111111111</v>
      </c>
      <c r="M56" s="37">
        <f t="shared" si="33"/>
        <v>54.06582034964523</v>
      </c>
      <c r="N56" s="41"/>
      <c r="O56" s="36">
        <f t="shared" si="34"/>
        <v>1492.5373134328358</v>
      </c>
      <c r="P56" s="36">
        <f t="shared" si="35"/>
        <v>2593.0134328358213</v>
      </c>
      <c r="Q56" s="36">
        <f t="shared" si="39"/>
        <v>7993.506428571428</v>
      </c>
      <c r="R56" s="36">
        <f t="shared" si="36"/>
        <v>3362.1511940298506</v>
      </c>
      <c r="S56" s="36">
        <f t="shared" si="37"/>
        <v>1782.8358208955224</v>
      </c>
      <c r="T56" s="44">
        <f t="shared" si="38"/>
        <v>65.40488828234139</v>
      </c>
    </row>
    <row r="57" spans="1:20" s="4" customFormat="1" ht="15">
      <c r="A57" s="21" t="s">
        <v>57</v>
      </c>
      <c r="B57" s="4" t="s">
        <v>141</v>
      </c>
      <c r="C57" s="4" t="s">
        <v>102</v>
      </c>
      <c r="D57" s="4" t="s">
        <v>141</v>
      </c>
      <c r="E57" s="24">
        <v>2</v>
      </c>
      <c r="F57" s="24">
        <v>2</v>
      </c>
      <c r="G57" s="41"/>
      <c r="H57" s="25" t="s">
        <v>88</v>
      </c>
      <c r="I57" s="5">
        <v>77140</v>
      </c>
      <c r="J57" s="5">
        <f t="shared" si="31"/>
        <v>17742.2</v>
      </c>
      <c r="K57" s="5">
        <v>43</v>
      </c>
      <c r="L57" s="5">
        <f t="shared" si="32"/>
        <v>1636.111111111111</v>
      </c>
      <c r="M57" s="37">
        <f t="shared" si="33"/>
        <v>65.05484602443127</v>
      </c>
      <c r="N57" s="41"/>
      <c r="O57" s="5">
        <f t="shared" si="34"/>
        <v>1492.5373134328358</v>
      </c>
      <c r="P57" s="5">
        <f t="shared" si="35"/>
        <v>2593.0134328358213</v>
      </c>
      <c r="Q57" s="5">
        <f t="shared" si="39"/>
        <v>7993.506428571428</v>
      </c>
      <c r="R57" s="5">
        <f t="shared" si="36"/>
        <v>3362.1511940298506</v>
      </c>
      <c r="S57" s="5">
        <f t="shared" si="37"/>
        <v>1782.8358208955224</v>
      </c>
      <c r="T57" s="43">
        <f t="shared" si="38"/>
        <v>76.39391395712744</v>
      </c>
    </row>
    <row r="58" spans="1:20" s="4" customFormat="1" ht="15">
      <c r="A58" s="32" t="s">
        <v>58</v>
      </c>
      <c r="B58" s="33" t="s">
        <v>141</v>
      </c>
      <c r="C58" s="33" t="s">
        <v>102</v>
      </c>
      <c r="D58" s="33" t="s">
        <v>141</v>
      </c>
      <c r="E58" s="34">
        <v>2</v>
      </c>
      <c r="F58" s="34">
        <v>2</v>
      </c>
      <c r="G58" s="41"/>
      <c r="H58" s="38" t="s">
        <v>88</v>
      </c>
      <c r="I58" s="36">
        <v>72883</v>
      </c>
      <c r="J58" s="36">
        <f t="shared" si="31"/>
        <v>16763.09</v>
      </c>
      <c r="K58" s="36">
        <v>43</v>
      </c>
      <c r="L58" s="36">
        <f t="shared" si="32"/>
        <v>1636.111111111111</v>
      </c>
      <c r="M58" s="37">
        <f t="shared" si="33"/>
        <v>61.60776900007314</v>
      </c>
      <c r="N58" s="41"/>
      <c r="O58" s="36">
        <f t="shared" si="34"/>
        <v>1492.5373134328358</v>
      </c>
      <c r="P58" s="36">
        <f t="shared" si="35"/>
        <v>2593.0134328358213</v>
      </c>
      <c r="Q58" s="36">
        <f t="shared" si="39"/>
        <v>7993.506428571428</v>
      </c>
      <c r="R58" s="36">
        <f t="shared" si="36"/>
        <v>3362.1511940298506</v>
      </c>
      <c r="S58" s="36">
        <f t="shared" si="37"/>
        <v>1782.8358208955224</v>
      </c>
      <c r="T58" s="44">
        <f t="shared" si="38"/>
        <v>72.9468369327693</v>
      </c>
    </row>
    <row r="59" spans="1:20" s="4" customFormat="1" ht="15">
      <c r="A59" s="21" t="s">
        <v>59</v>
      </c>
      <c r="B59" s="21" t="s">
        <v>52</v>
      </c>
      <c r="C59" s="4" t="s">
        <v>102</v>
      </c>
      <c r="E59" s="24">
        <v>1</v>
      </c>
      <c r="F59" s="24">
        <v>1</v>
      </c>
      <c r="G59" s="41"/>
      <c r="H59" s="25" t="s">
        <v>86</v>
      </c>
      <c r="I59" s="5">
        <v>61059</v>
      </c>
      <c r="J59" s="5">
        <f t="shared" si="31"/>
        <v>14348.865</v>
      </c>
      <c r="K59" s="5">
        <v>23</v>
      </c>
      <c r="L59" s="5">
        <f t="shared" si="32"/>
        <v>4153.877551020409</v>
      </c>
      <c r="M59" s="37">
        <f t="shared" si="33"/>
        <v>49.34402805968681</v>
      </c>
      <c r="N59" s="41"/>
      <c r="O59" s="5">
        <f t="shared" si="34"/>
        <v>1492.5373134328358</v>
      </c>
      <c r="P59" s="5">
        <f t="shared" si="35"/>
        <v>2593.0134328358213</v>
      </c>
      <c r="Q59" s="5">
        <f t="shared" si="39"/>
        <v>7993.506428571428</v>
      </c>
      <c r="R59" s="5">
        <f t="shared" si="36"/>
        <v>3362.1511940298506</v>
      </c>
      <c r="S59" s="5">
        <f t="shared" si="37"/>
        <v>1782.8358208955224</v>
      </c>
      <c r="T59" s="43">
        <f t="shared" si="38"/>
        <v>59.72621262253519</v>
      </c>
    </row>
    <row r="60" spans="1:20" s="4" customFormat="1" ht="15">
      <c r="A60" s="162"/>
      <c r="B60" s="163"/>
      <c r="C60" s="163"/>
      <c r="D60" s="163"/>
      <c r="E60" s="163"/>
      <c r="F60" s="163"/>
      <c r="G60" s="163"/>
      <c r="H60" s="163"/>
      <c r="I60" s="163"/>
      <c r="J60" s="163"/>
      <c r="K60" s="163"/>
      <c r="L60" s="163"/>
      <c r="M60" s="163"/>
      <c r="N60" s="41"/>
      <c r="O60" s="5"/>
      <c r="P60" s="5"/>
      <c r="Q60" s="5"/>
      <c r="R60" s="5"/>
      <c r="S60" s="5"/>
      <c r="T60" s="43"/>
    </row>
    <row r="61" spans="1:20" s="4" customFormat="1" ht="15">
      <c r="A61" s="32" t="s">
        <v>60</v>
      </c>
      <c r="B61" s="33" t="s">
        <v>143</v>
      </c>
      <c r="C61" s="33" t="s">
        <v>144</v>
      </c>
      <c r="D61" s="33" t="s">
        <v>260</v>
      </c>
      <c r="E61" s="34">
        <v>1</v>
      </c>
      <c r="F61" s="34">
        <v>2</v>
      </c>
      <c r="G61" s="41"/>
      <c r="H61" s="38" t="s">
        <v>91</v>
      </c>
      <c r="I61" s="36">
        <v>101856</v>
      </c>
      <c r="J61" s="36">
        <f aca="true" t="shared" si="40" ref="J61:J66">IF(F61=1,I61*Bargaining_unit_1_benefit,I61*bargaining_unit_2_benefit)</f>
        <v>23426.88</v>
      </c>
      <c r="K61" s="36">
        <v>47</v>
      </c>
      <c r="L61" s="36">
        <f aca="true" t="shared" si="41" ref="L61:L66">IF(E61=1,(loc_1_sf/loc_1_staff)*cost_per_sf_1,(loc_2_sf/loc_2_staff)*cost_per_sf_2)</f>
        <v>4153.877551020409</v>
      </c>
      <c r="M61" s="37">
        <f aca="true" t="shared" si="42" ref="M61:M66">((I61+J61)+equipment_cost_per_person+L61)/(working_hours_per_year-(K61*Working_hours_per_day))</f>
        <v>88.3546328309996</v>
      </c>
      <c r="N61" s="41"/>
      <c r="O61" s="36">
        <f aca="true" t="shared" si="43" ref="O61:O66">CIO_Levy/total_staff</f>
        <v>1492.5373134328358</v>
      </c>
      <c r="P61" s="36">
        <f aca="true" t="shared" si="44" ref="P61:P66">institutional_overhead/total_staff</f>
        <v>2593.0134328358213</v>
      </c>
      <c r="Q61" s="36"/>
      <c r="R61" s="36">
        <f aca="true" t="shared" si="45" ref="R61:R66">Manager_assess</f>
        <v>3362.1511940298506</v>
      </c>
      <c r="S61" s="36">
        <f aca="true" t="shared" si="46" ref="S61:S66">Admin_costs/total_staff</f>
        <v>1782.8358208955224</v>
      </c>
      <c r="T61" s="44">
        <f aca="true" t="shared" si="47" ref="T61:T66">((I61+J61)+equipment_cost_per_person+L61+O61+P61+Q61+R61+S61)/(working_hours_per_year-(K61*7))</f>
        <v>94.54546969296743</v>
      </c>
    </row>
    <row r="62" spans="1:20" s="4" customFormat="1" ht="15">
      <c r="A62" s="21" t="s">
        <v>61</v>
      </c>
      <c r="B62" s="4" t="s">
        <v>145</v>
      </c>
      <c r="C62" s="4" t="s">
        <v>144</v>
      </c>
      <c r="D62" s="4" t="s">
        <v>145</v>
      </c>
      <c r="E62" s="24">
        <v>1</v>
      </c>
      <c r="F62" s="24">
        <v>2</v>
      </c>
      <c r="G62" s="41"/>
      <c r="H62" s="25" t="s">
        <v>88</v>
      </c>
      <c r="I62" s="5">
        <v>79300</v>
      </c>
      <c r="J62" s="5">
        <f t="shared" si="40"/>
        <v>18239</v>
      </c>
      <c r="K62" s="5">
        <v>44</v>
      </c>
      <c r="L62" s="5">
        <f t="shared" si="41"/>
        <v>4153.877551020409</v>
      </c>
      <c r="M62" s="37">
        <f t="shared" si="42"/>
        <v>68.7783581686643</v>
      </c>
      <c r="N62" s="41"/>
      <c r="O62" s="5">
        <f t="shared" si="43"/>
        <v>1492.5373134328358</v>
      </c>
      <c r="P62" s="5">
        <f t="shared" si="44"/>
        <v>2593.0134328358213</v>
      </c>
      <c r="Q62" s="5">
        <f>((I61+J61)*supervisor_assess)/5</f>
        <v>12528.288</v>
      </c>
      <c r="R62" s="5">
        <f t="shared" si="45"/>
        <v>3362.1511940298506</v>
      </c>
      <c r="S62" s="5">
        <f t="shared" si="46"/>
        <v>1782.8358208955224</v>
      </c>
      <c r="T62" s="43">
        <f t="shared" si="47"/>
        <v>83.16911594723177</v>
      </c>
    </row>
    <row r="63" spans="1:20" s="4" customFormat="1" ht="15">
      <c r="A63" s="32" t="s">
        <v>62</v>
      </c>
      <c r="B63" s="33" t="s">
        <v>161</v>
      </c>
      <c r="C63" s="33" t="s">
        <v>144</v>
      </c>
      <c r="D63" s="33" t="s">
        <v>129</v>
      </c>
      <c r="E63" s="34">
        <v>1</v>
      </c>
      <c r="F63" s="34">
        <v>2</v>
      </c>
      <c r="G63" s="41"/>
      <c r="H63" s="38" t="s">
        <v>90</v>
      </c>
      <c r="I63" s="36">
        <v>83803</v>
      </c>
      <c r="J63" s="36">
        <f t="shared" si="40"/>
        <v>19274.690000000002</v>
      </c>
      <c r="K63" s="36">
        <v>43</v>
      </c>
      <c r="L63" s="36">
        <f t="shared" si="41"/>
        <v>4153.877551020409</v>
      </c>
      <c r="M63" s="37">
        <f t="shared" si="42"/>
        <v>72.10768107374616</v>
      </c>
      <c r="N63" s="41"/>
      <c r="O63" s="36">
        <f t="shared" si="43"/>
        <v>1492.5373134328358</v>
      </c>
      <c r="P63" s="36">
        <f t="shared" si="44"/>
        <v>2593.0134328358213</v>
      </c>
      <c r="Q63" s="36">
        <f>Ken_Levy</f>
        <v>12528.288</v>
      </c>
      <c r="R63" s="36">
        <f t="shared" si="45"/>
        <v>3362.1511940298506</v>
      </c>
      <c r="S63" s="36">
        <f t="shared" si="46"/>
        <v>1782.8358208955224</v>
      </c>
      <c r="T63" s="44">
        <f t="shared" si="47"/>
        <v>86.43212199619123</v>
      </c>
    </row>
    <row r="64" spans="1:20" s="4" customFormat="1" ht="15">
      <c r="A64" s="21" t="s">
        <v>63</v>
      </c>
      <c r="B64" s="4" t="s">
        <v>145</v>
      </c>
      <c r="C64" s="4" t="s">
        <v>144</v>
      </c>
      <c r="D64" s="4" t="s">
        <v>145</v>
      </c>
      <c r="E64" s="24">
        <v>2</v>
      </c>
      <c r="F64" s="24">
        <v>2</v>
      </c>
      <c r="G64" s="41"/>
      <c r="H64" s="25" t="s">
        <v>88</v>
      </c>
      <c r="I64" s="5">
        <v>74405</v>
      </c>
      <c r="J64" s="5">
        <f t="shared" si="40"/>
        <v>17113.15</v>
      </c>
      <c r="K64" s="5">
        <v>43</v>
      </c>
      <c r="L64" s="5">
        <f t="shared" si="41"/>
        <v>1636.111111111111</v>
      </c>
      <c r="M64" s="37">
        <f t="shared" si="42"/>
        <v>62.84019822982956</v>
      </c>
      <c r="N64" s="41"/>
      <c r="O64" s="5">
        <f t="shared" si="43"/>
        <v>1492.5373134328358</v>
      </c>
      <c r="P64" s="5">
        <f t="shared" si="44"/>
        <v>2593.0134328358213</v>
      </c>
      <c r="Q64" s="5">
        <f>Ken_Levy</f>
        <v>12528.288</v>
      </c>
      <c r="R64" s="5">
        <f t="shared" si="45"/>
        <v>3362.1511940298506</v>
      </c>
      <c r="S64" s="5">
        <f t="shared" si="46"/>
        <v>1782.8358208955224</v>
      </c>
      <c r="T64" s="43">
        <f t="shared" si="47"/>
        <v>77.16463915227462</v>
      </c>
    </row>
    <row r="65" spans="1:20" s="4" customFormat="1" ht="15">
      <c r="A65" s="32" t="s">
        <v>64</v>
      </c>
      <c r="B65" s="33" t="s">
        <v>267</v>
      </c>
      <c r="C65" s="33" t="s">
        <v>144</v>
      </c>
      <c r="D65" s="33" t="s">
        <v>145</v>
      </c>
      <c r="E65" s="34">
        <v>1</v>
      </c>
      <c r="F65" s="34">
        <v>2</v>
      </c>
      <c r="G65" s="41"/>
      <c r="H65" s="38" t="s">
        <v>88</v>
      </c>
      <c r="I65" s="36">
        <v>75039</v>
      </c>
      <c r="J65" s="36">
        <f t="shared" si="40"/>
        <v>17258.97</v>
      </c>
      <c r="K65" s="36">
        <v>44</v>
      </c>
      <c r="L65" s="36">
        <f t="shared" si="41"/>
        <v>4153.877551020409</v>
      </c>
      <c r="M65" s="37">
        <f t="shared" si="42"/>
        <v>65.31206848612462</v>
      </c>
      <c r="N65" s="41"/>
      <c r="O65" s="36">
        <f t="shared" si="43"/>
        <v>1492.5373134328358</v>
      </c>
      <c r="P65" s="36">
        <f t="shared" si="44"/>
        <v>2593.0134328358213</v>
      </c>
      <c r="Q65" s="36">
        <f>Ken_Levy</f>
        <v>12528.288</v>
      </c>
      <c r="R65" s="36">
        <f t="shared" si="45"/>
        <v>3362.1511940298506</v>
      </c>
      <c r="S65" s="36">
        <f t="shared" si="46"/>
        <v>1782.8358208955224</v>
      </c>
      <c r="T65" s="44">
        <f t="shared" si="47"/>
        <v>79.70282626469209</v>
      </c>
    </row>
    <row r="66" spans="1:20" s="4" customFormat="1" ht="15">
      <c r="A66" s="21" t="s">
        <v>65</v>
      </c>
      <c r="B66" s="4" t="s">
        <v>145</v>
      </c>
      <c r="C66" s="4" t="s">
        <v>144</v>
      </c>
      <c r="D66" s="4" t="s">
        <v>145</v>
      </c>
      <c r="E66" s="24">
        <v>1</v>
      </c>
      <c r="F66" s="24">
        <v>2</v>
      </c>
      <c r="G66" s="41"/>
      <c r="H66" s="25" t="s">
        <v>88</v>
      </c>
      <c r="I66" s="5">
        <v>72378</v>
      </c>
      <c r="J66" s="5">
        <f t="shared" si="40"/>
        <v>16646.940000000002</v>
      </c>
      <c r="K66" s="5">
        <v>43</v>
      </c>
      <c r="L66" s="5">
        <f t="shared" si="41"/>
        <v>4153.877551020409</v>
      </c>
      <c r="M66" s="37">
        <f t="shared" si="42"/>
        <v>62.856364418051626</v>
      </c>
      <c r="N66" s="41"/>
      <c r="O66" s="5">
        <f t="shared" si="43"/>
        <v>1492.5373134328358</v>
      </c>
      <c r="P66" s="5">
        <f t="shared" si="44"/>
        <v>2593.0134328358213</v>
      </c>
      <c r="Q66" s="5">
        <f>Ken_Levy</f>
        <v>12528.288</v>
      </c>
      <c r="R66" s="5">
        <f t="shared" si="45"/>
        <v>3362.1511940298506</v>
      </c>
      <c r="S66" s="5">
        <f t="shared" si="46"/>
        <v>1782.8358208955224</v>
      </c>
      <c r="T66" s="43">
        <f t="shared" si="47"/>
        <v>77.18080534049668</v>
      </c>
    </row>
    <row r="67" spans="1:20" s="4" customFormat="1" ht="15">
      <c r="A67" s="162"/>
      <c r="B67" s="163"/>
      <c r="C67" s="163"/>
      <c r="D67" s="163"/>
      <c r="E67" s="163"/>
      <c r="F67" s="163"/>
      <c r="G67" s="163"/>
      <c r="H67" s="163"/>
      <c r="I67" s="163"/>
      <c r="J67" s="163"/>
      <c r="K67" s="163"/>
      <c r="L67" s="163"/>
      <c r="M67" s="163"/>
      <c r="N67" s="41"/>
      <c r="O67" s="5"/>
      <c r="P67" s="5"/>
      <c r="Q67" s="5"/>
      <c r="R67" s="5"/>
      <c r="S67" s="5"/>
      <c r="T67" s="12"/>
    </row>
    <row r="68" spans="1:20" s="4" customFormat="1" ht="15">
      <c r="A68" s="32" t="s">
        <v>66</v>
      </c>
      <c r="B68" s="33" t="s">
        <v>263</v>
      </c>
      <c r="C68" s="33" t="s">
        <v>103</v>
      </c>
      <c r="D68" s="33" t="s">
        <v>260</v>
      </c>
      <c r="E68" s="34">
        <v>1</v>
      </c>
      <c r="F68" s="34">
        <v>2</v>
      </c>
      <c r="G68" s="41"/>
      <c r="H68" s="38" t="s">
        <v>91</v>
      </c>
      <c r="I68" s="36">
        <v>107291</v>
      </c>
      <c r="J68" s="36">
        <f aca="true" t="shared" si="48" ref="J68:J75">IF(F68=1,I68*Bargaining_unit_1_benefit,I68*bargaining_unit_2_benefit)</f>
        <v>24676.93</v>
      </c>
      <c r="K68" s="36">
        <v>48</v>
      </c>
      <c r="L68" s="36">
        <f aca="true" t="shared" si="49" ref="L68:L75">IF(E68=1,(loc_1_sf/loc_1_staff)*cost_per_sf_1,(loc_2_sf/loc_2_staff)*cost_per_sf_2)</f>
        <v>4153.877551020409</v>
      </c>
      <c r="M68" s="37">
        <f aca="true" t="shared" si="50" ref="M68:M75">((I68+J68)+equipment_cost_per_person+L68)/(working_hours_per_year-(K68*Working_hours_per_day))</f>
        <v>93.27615064084934</v>
      </c>
      <c r="N68" s="41"/>
      <c r="O68" s="36">
        <f aca="true" t="shared" si="51" ref="O68:O75">CIO_Levy/total_staff</f>
        <v>1492.5373134328358</v>
      </c>
      <c r="P68" s="36">
        <f aca="true" t="shared" si="52" ref="P68:P75">institutional_overhead/total_staff</f>
        <v>2593.0134328358213</v>
      </c>
      <c r="Q68" s="36"/>
      <c r="R68" s="36">
        <f aca="true" t="shared" si="53" ref="R68:R75">Manager_assess</f>
        <v>3362.1511940298506</v>
      </c>
      <c r="S68" s="36">
        <f aca="true" t="shared" si="54" ref="S68:S75">Admin_costs/total_staff</f>
        <v>1782.8358208955224</v>
      </c>
      <c r="T68" s="44">
        <f aca="true" t="shared" si="55" ref="T68:T75">((I68+J68)+equipment_cost_per_person+L68+O68+P68+Q68+R68+S68)/(working_hours_per_year-(K68*7))</f>
        <v>99.49618956348681</v>
      </c>
    </row>
    <row r="69" spans="1:20" s="4" customFormat="1" ht="15">
      <c r="A69" s="21" t="s">
        <v>67</v>
      </c>
      <c r="B69" s="4" t="s">
        <v>95</v>
      </c>
      <c r="C69" s="4" t="s">
        <v>103</v>
      </c>
      <c r="D69" s="4" t="s">
        <v>25</v>
      </c>
      <c r="E69" s="24">
        <v>2</v>
      </c>
      <c r="F69" s="24">
        <v>2</v>
      </c>
      <c r="G69" s="41"/>
      <c r="H69" s="25" t="s">
        <v>87</v>
      </c>
      <c r="I69" s="5">
        <v>56936</v>
      </c>
      <c r="J69" s="5">
        <f t="shared" si="48"/>
        <v>13095.28</v>
      </c>
      <c r="K69" s="5">
        <v>22</v>
      </c>
      <c r="L69" s="5">
        <f t="shared" si="49"/>
        <v>1636.111111111111</v>
      </c>
      <c r="M69" s="37">
        <f t="shared" si="50"/>
        <v>44.39819394424436</v>
      </c>
      <c r="N69" s="41"/>
      <c r="O69" s="5">
        <f t="shared" si="51"/>
        <v>1492.5373134328358</v>
      </c>
      <c r="P69" s="5">
        <f t="shared" si="52"/>
        <v>2593.0134328358213</v>
      </c>
      <c r="Q69" s="5">
        <f>((I68+J68)*supervisor_assess)/7</f>
        <v>9426.280714285715</v>
      </c>
      <c r="R69" s="5">
        <f t="shared" si="53"/>
        <v>3362.1511940298506</v>
      </c>
      <c r="S69" s="5">
        <f t="shared" si="54"/>
        <v>1782.8358208955224</v>
      </c>
      <c r="T69" s="43">
        <f t="shared" si="55"/>
        <v>55.59676445773761</v>
      </c>
    </row>
    <row r="70" spans="1:20" s="4" customFormat="1" ht="15">
      <c r="A70" s="32" t="s">
        <v>68</v>
      </c>
      <c r="B70" s="33" t="s">
        <v>150</v>
      </c>
      <c r="C70" s="33" t="s">
        <v>103</v>
      </c>
      <c r="D70" s="33" t="s">
        <v>51</v>
      </c>
      <c r="E70" s="34">
        <v>2</v>
      </c>
      <c r="F70" s="34">
        <v>2</v>
      </c>
      <c r="G70" s="41"/>
      <c r="H70" s="38" t="s">
        <v>88</v>
      </c>
      <c r="I70" s="36">
        <v>64456</v>
      </c>
      <c r="J70" s="36">
        <f t="shared" si="48"/>
        <v>14824.880000000001</v>
      </c>
      <c r="K70" s="36">
        <v>22</v>
      </c>
      <c r="L70" s="36">
        <f t="shared" si="49"/>
        <v>1636.111111111111</v>
      </c>
      <c r="M70" s="37">
        <f t="shared" si="50"/>
        <v>49.950174736561294</v>
      </c>
      <c r="N70" s="41"/>
      <c r="O70" s="36">
        <f t="shared" si="51"/>
        <v>1492.5373134328358</v>
      </c>
      <c r="P70" s="36">
        <f t="shared" si="52"/>
        <v>2593.0134328358213</v>
      </c>
      <c r="Q70" s="36">
        <f aca="true" t="shared" si="56" ref="Q70:Q75">Daryl2_Levy</f>
        <v>9426.280714285715</v>
      </c>
      <c r="R70" s="36">
        <f t="shared" si="53"/>
        <v>3362.1511940298506</v>
      </c>
      <c r="S70" s="36">
        <f t="shared" si="54"/>
        <v>1782.8358208955224</v>
      </c>
      <c r="T70" s="44">
        <f t="shared" si="55"/>
        <v>61.148745250054546</v>
      </c>
    </row>
    <row r="71" spans="1:20" s="4" customFormat="1" ht="15">
      <c r="A71" s="21" t="s">
        <v>69</v>
      </c>
      <c r="B71" s="4" t="s">
        <v>269</v>
      </c>
      <c r="C71" s="4" t="s">
        <v>103</v>
      </c>
      <c r="D71" s="4" t="s">
        <v>142</v>
      </c>
      <c r="E71" s="24">
        <v>1</v>
      </c>
      <c r="F71" s="24">
        <v>2</v>
      </c>
      <c r="G71" s="41"/>
      <c r="H71" s="25" t="s">
        <v>87</v>
      </c>
      <c r="I71" s="5">
        <v>51418</v>
      </c>
      <c r="J71" s="5">
        <f t="shared" si="48"/>
        <v>11826.140000000001</v>
      </c>
      <c r="K71" s="5">
        <v>22</v>
      </c>
      <c r="L71" s="5">
        <f t="shared" si="49"/>
        <v>4153.877551020409</v>
      </c>
      <c r="M71" s="37">
        <f t="shared" si="50"/>
        <v>41.83554474851165</v>
      </c>
      <c r="N71" s="41"/>
      <c r="O71" s="5">
        <f t="shared" si="51"/>
        <v>1492.5373134328358</v>
      </c>
      <c r="P71" s="5">
        <f t="shared" si="52"/>
        <v>2593.0134328358213</v>
      </c>
      <c r="Q71" s="5">
        <f t="shared" si="56"/>
        <v>9426.280714285715</v>
      </c>
      <c r="R71" s="5">
        <f t="shared" si="53"/>
        <v>3362.1511940298506</v>
      </c>
      <c r="S71" s="5">
        <f t="shared" si="54"/>
        <v>1782.8358208955224</v>
      </c>
      <c r="T71" s="43">
        <f t="shared" si="55"/>
        <v>53.0341152620049</v>
      </c>
    </row>
    <row r="72" spans="1:20" s="4" customFormat="1" ht="15">
      <c r="A72" s="32" t="s">
        <v>70</v>
      </c>
      <c r="B72" s="33" t="s">
        <v>270</v>
      </c>
      <c r="C72" s="33" t="s">
        <v>103</v>
      </c>
      <c r="D72" s="33" t="s">
        <v>141</v>
      </c>
      <c r="E72" s="34">
        <v>2</v>
      </c>
      <c r="F72" s="34">
        <v>2</v>
      </c>
      <c r="G72" s="41"/>
      <c r="H72" s="38" t="s">
        <v>88</v>
      </c>
      <c r="I72" s="36">
        <v>62700</v>
      </c>
      <c r="J72" s="36">
        <f t="shared" si="48"/>
        <v>14421</v>
      </c>
      <c r="K72" s="36">
        <v>42</v>
      </c>
      <c r="L72" s="36">
        <f t="shared" si="49"/>
        <v>1636.111111111111</v>
      </c>
      <c r="M72" s="37">
        <f t="shared" si="50"/>
        <v>53.117372943061014</v>
      </c>
      <c r="N72" s="41"/>
      <c r="O72" s="36">
        <f t="shared" si="51"/>
        <v>1492.5373134328358</v>
      </c>
      <c r="P72" s="36">
        <f t="shared" si="52"/>
        <v>2593.0134328358213</v>
      </c>
      <c r="Q72" s="36">
        <f t="shared" si="56"/>
        <v>9426.280714285715</v>
      </c>
      <c r="R72" s="36">
        <f t="shared" si="53"/>
        <v>3362.1511940298506</v>
      </c>
      <c r="S72" s="36">
        <f t="shared" si="54"/>
        <v>1782.8358208955224</v>
      </c>
      <c r="T72" s="44">
        <f t="shared" si="55"/>
        <v>65.343335246783</v>
      </c>
    </row>
    <row r="73" spans="1:20" s="4" customFormat="1" ht="15">
      <c r="A73" s="21" t="s">
        <v>71</v>
      </c>
      <c r="B73" s="4" t="s">
        <v>146</v>
      </c>
      <c r="C73" s="4" t="s">
        <v>103</v>
      </c>
      <c r="D73" s="4" t="s">
        <v>204</v>
      </c>
      <c r="E73" s="24">
        <v>1</v>
      </c>
      <c r="F73" s="24">
        <v>2</v>
      </c>
      <c r="G73" s="41"/>
      <c r="H73" s="25" t="s">
        <v>90</v>
      </c>
      <c r="I73" s="5">
        <v>81521</v>
      </c>
      <c r="J73" s="5">
        <f t="shared" si="48"/>
        <v>18749.83</v>
      </c>
      <c r="K73" s="5">
        <v>43</v>
      </c>
      <c r="L73" s="5">
        <f t="shared" si="49"/>
        <v>4153.877551020409</v>
      </c>
      <c r="M73" s="37">
        <f t="shared" si="50"/>
        <v>70.25984697236368</v>
      </c>
      <c r="N73" s="41"/>
      <c r="O73" s="5">
        <f t="shared" si="51"/>
        <v>1492.5373134328358</v>
      </c>
      <c r="P73" s="5">
        <f t="shared" si="52"/>
        <v>2593.0134328358213</v>
      </c>
      <c r="Q73" s="5">
        <f t="shared" si="56"/>
        <v>9426.280714285715</v>
      </c>
      <c r="R73" s="5">
        <f t="shared" si="53"/>
        <v>3362.1511940298506</v>
      </c>
      <c r="S73" s="5">
        <f t="shared" si="54"/>
        <v>1782.8358208955224</v>
      </c>
      <c r="T73" s="43">
        <f t="shared" si="55"/>
        <v>82.54215011619497</v>
      </c>
    </row>
    <row r="74" spans="1:20" s="4" customFormat="1" ht="15">
      <c r="A74" s="32" t="s">
        <v>72</v>
      </c>
      <c r="B74" s="33" t="s">
        <v>150</v>
      </c>
      <c r="C74" s="33" t="s">
        <v>103</v>
      </c>
      <c r="D74" s="33" t="s">
        <v>51</v>
      </c>
      <c r="E74" s="34">
        <v>2</v>
      </c>
      <c r="F74" s="34">
        <v>2</v>
      </c>
      <c r="G74" s="41"/>
      <c r="H74" s="38" t="s">
        <v>88</v>
      </c>
      <c r="I74" s="36">
        <v>66614</v>
      </c>
      <c r="J74" s="36">
        <f t="shared" si="48"/>
        <v>15321.220000000001</v>
      </c>
      <c r="K74" s="36">
        <v>22</v>
      </c>
      <c r="L74" s="36">
        <f t="shared" si="49"/>
        <v>1636.111111111111</v>
      </c>
      <c r="M74" s="37">
        <f t="shared" si="50"/>
        <v>51.5434160330799</v>
      </c>
      <c r="N74" s="41"/>
      <c r="O74" s="36">
        <f t="shared" si="51"/>
        <v>1492.5373134328358</v>
      </c>
      <c r="P74" s="36">
        <f t="shared" si="52"/>
        <v>2593.0134328358213</v>
      </c>
      <c r="Q74" s="36">
        <f t="shared" si="56"/>
        <v>9426.280714285715</v>
      </c>
      <c r="R74" s="36">
        <f t="shared" si="53"/>
        <v>3362.1511940298506</v>
      </c>
      <c r="S74" s="36">
        <f t="shared" si="54"/>
        <v>1782.8358208955224</v>
      </c>
      <c r="T74" s="44">
        <f t="shared" si="55"/>
        <v>62.74198654657315</v>
      </c>
    </row>
    <row r="75" spans="1:20" s="4" customFormat="1" ht="15">
      <c r="A75" s="21" t="s">
        <v>73</v>
      </c>
      <c r="B75" s="4" t="s">
        <v>150</v>
      </c>
      <c r="C75" s="4" t="s">
        <v>103</v>
      </c>
      <c r="D75" s="4" t="s">
        <v>51</v>
      </c>
      <c r="E75" s="24">
        <v>2</v>
      </c>
      <c r="F75" s="24">
        <v>2</v>
      </c>
      <c r="G75" s="41"/>
      <c r="H75" s="25" t="s">
        <v>88</v>
      </c>
      <c r="I75" s="5">
        <v>67762</v>
      </c>
      <c r="J75" s="5">
        <f t="shared" si="48"/>
        <v>15585.26</v>
      </c>
      <c r="K75" s="5">
        <v>22</v>
      </c>
      <c r="L75" s="5">
        <f t="shared" si="49"/>
        <v>1636.111111111111</v>
      </c>
      <c r="M75" s="37">
        <f t="shared" si="50"/>
        <v>52.39097905828998</v>
      </c>
      <c r="N75" s="41"/>
      <c r="O75" s="5">
        <f t="shared" si="51"/>
        <v>1492.5373134328358</v>
      </c>
      <c r="P75" s="5">
        <f t="shared" si="52"/>
        <v>2593.0134328358213</v>
      </c>
      <c r="Q75" s="5">
        <f t="shared" si="56"/>
        <v>9426.280714285715</v>
      </c>
      <c r="R75" s="5">
        <f t="shared" si="53"/>
        <v>3362.1511940298506</v>
      </c>
      <c r="S75" s="5">
        <f t="shared" si="54"/>
        <v>1782.8358208955224</v>
      </c>
      <c r="T75" s="43">
        <f t="shared" si="55"/>
        <v>63.58954957178323</v>
      </c>
    </row>
    <row r="76" spans="1:20" s="4" customFormat="1" ht="15">
      <c r="A76" s="162"/>
      <c r="B76" s="163"/>
      <c r="C76" s="163"/>
      <c r="D76" s="163"/>
      <c r="E76" s="163"/>
      <c r="F76" s="163"/>
      <c r="G76" s="163"/>
      <c r="H76" s="163"/>
      <c r="I76" s="163"/>
      <c r="J76" s="163"/>
      <c r="K76" s="163"/>
      <c r="L76" s="163"/>
      <c r="M76" s="163"/>
      <c r="N76" s="41"/>
      <c r="O76" s="5"/>
      <c r="P76" s="5"/>
      <c r="Q76" s="5"/>
      <c r="R76" s="5"/>
      <c r="S76" s="5"/>
      <c r="T76" s="43"/>
    </row>
    <row r="77" spans="1:20" s="4" customFormat="1" ht="15">
      <c r="A77" s="32" t="s">
        <v>74</v>
      </c>
      <c r="B77" s="33" t="s">
        <v>148</v>
      </c>
      <c r="C77" s="33" t="s">
        <v>104</v>
      </c>
      <c r="D77" s="33" t="s">
        <v>260</v>
      </c>
      <c r="E77" s="34">
        <v>2</v>
      </c>
      <c r="F77" s="34">
        <v>2</v>
      </c>
      <c r="G77" s="41"/>
      <c r="H77" s="38" t="s">
        <v>90</v>
      </c>
      <c r="I77" s="36">
        <v>93531</v>
      </c>
      <c r="J77" s="36">
        <f aca="true" t="shared" si="57" ref="J77:J82">IF(F77=1,I77*Bargaining_unit_1_benefit,I77*bargaining_unit_2_benefit)</f>
        <v>21512.13</v>
      </c>
      <c r="K77" s="36">
        <v>48</v>
      </c>
      <c r="L77" s="36">
        <f aca="true" t="shared" si="58" ref="L77:L82">IF(E77=1,(loc_1_sf/loc_1_staff)*cost_per_sf_1,(loc_2_sf/loc_2_staff)*cost_per_sf_2)</f>
        <v>1636.111111111111</v>
      </c>
      <c r="M77" s="37">
        <f aca="true" t="shared" si="59" ref="M77:M82">((I77+J77)+equipment_cost_per_person+L77)/(working_hours_per_year-(K77*Working_hours_per_day))</f>
        <v>80.17469077568134</v>
      </c>
      <c r="N77" s="41"/>
      <c r="O77" s="36">
        <f aca="true" t="shared" si="60" ref="O77:O82">CIO_Levy/total_staff</f>
        <v>1492.5373134328358</v>
      </c>
      <c r="P77" s="36">
        <f aca="true" t="shared" si="61" ref="P77:P82">institutional_overhead/total_staff</f>
        <v>2593.0134328358213</v>
      </c>
      <c r="Q77" s="36"/>
      <c r="R77" s="36">
        <f aca="true" t="shared" si="62" ref="R77:R82">Manager_assess</f>
        <v>3362.1511940298506</v>
      </c>
      <c r="S77" s="36">
        <f aca="true" t="shared" si="63" ref="S77:S82">Admin_costs/total_staff</f>
        <v>1782.8358208955224</v>
      </c>
      <c r="T77" s="44">
        <f aca="true" t="shared" si="64" ref="T77:T82">((I77+J77)+equipment_cost_per_person+L77+O77+P77+Q77+R77+S77)/(working_hours_per_year-(K77*7))</f>
        <v>86.39472969831883</v>
      </c>
    </row>
    <row r="78" spans="1:20" s="4" customFormat="1" ht="15">
      <c r="A78" s="21" t="s">
        <v>75</v>
      </c>
      <c r="B78" s="4" t="s">
        <v>147</v>
      </c>
      <c r="C78" s="4" t="s">
        <v>104</v>
      </c>
      <c r="D78" s="4" t="s">
        <v>141</v>
      </c>
      <c r="E78" s="24">
        <v>2</v>
      </c>
      <c r="F78" s="24">
        <v>2</v>
      </c>
      <c r="G78" s="41"/>
      <c r="H78" s="25" t="s">
        <v>88</v>
      </c>
      <c r="I78" s="5">
        <v>77140</v>
      </c>
      <c r="J78" s="5">
        <f t="shared" si="57"/>
        <v>17742.2</v>
      </c>
      <c r="K78" s="5">
        <v>43</v>
      </c>
      <c r="L78" s="5">
        <f t="shared" si="58"/>
        <v>1636.111111111111</v>
      </c>
      <c r="M78" s="37">
        <f t="shared" si="59"/>
        <v>65.05484602443127</v>
      </c>
      <c r="N78" s="41"/>
      <c r="O78" s="5">
        <f t="shared" si="60"/>
        <v>1492.5373134328358</v>
      </c>
      <c r="P78" s="5">
        <f t="shared" si="61"/>
        <v>2593.0134328358213</v>
      </c>
      <c r="Q78" s="5">
        <f>((I77+J77)*supervisor_assess)/5</f>
        <v>11504.313</v>
      </c>
      <c r="R78" s="5">
        <f t="shared" si="62"/>
        <v>3362.1511940298506</v>
      </c>
      <c r="S78" s="5">
        <f t="shared" si="63"/>
        <v>1782.8358208955224</v>
      </c>
      <c r="T78" s="43">
        <f t="shared" si="64"/>
        <v>78.70517568947014</v>
      </c>
    </row>
    <row r="79" spans="1:20" ht="15">
      <c r="A79" s="32" t="s">
        <v>76</v>
      </c>
      <c r="B79" s="33" t="s">
        <v>149</v>
      </c>
      <c r="C79" s="33" t="s">
        <v>104</v>
      </c>
      <c r="D79" s="33" t="s">
        <v>140</v>
      </c>
      <c r="E79" s="34">
        <v>1</v>
      </c>
      <c r="F79" s="34">
        <v>2</v>
      </c>
      <c r="G79" s="41"/>
      <c r="H79" s="38" t="s">
        <v>90</v>
      </c>
      <c r="I79" s="36">
        <v>60751</v>
      </c>
      <c r="J79" s="36">
        <f t="shared" si="57"/>
        <v>13972.730000000001</v>
      </c>
      <c r="K79" s="36">
        <v>43</v>
      </c>
      <c r="L79" s="36">
        <f t="shared" si="58"/>
        <v>4153.877551020409</v>
      </c>
      <c r="M79" s="37">
        <f t="shared" si="59"/>
        <v>53.44147962542489</v>
      </c>
      <c r="N79" s="41"/>
      <c r="O79" s="36">
        <f t="shared" si="60"/>
        <v>1492.5373134328358</v>
      </c>
      <c r="P79" s="36">
        <f t="shared" si="61"/>
        <v>2593.0134328358213</v>
      </c>
      <c r="Q79" s="36">
        <f>Daryl_Levy</f>
        <v>11504.313</v>
      </c>
      <c r="R79" s="36">
        <f t="shared" si="62"/>
        <v>3362.1511940298506</v>
      </c>
      <c r="S79" s="36">
        <f t="shared" si="63"/>
        <v>1782.8358208955224</v>
      </c>
      <c r="T79" s="44">
        <f t="shared" si="64"/>
        <v>67.09180929046376</v>
      </c>
    </row>
    <row r="80" spans="1:20" s="4" customFormat="1" ht="15">
      <c r="A80" s="21" t="s">
        <v>77</v>
      </c>
      <c r="B80" s="4" t="s">
        <v>149</v>
      </c>
      <c r="C80" s="4" t="s">
        <v>104</v>
      </c>
      <c r="D80" s="4" t="s">
        <v>140</v>
      </c>
      <c r="E80" s="24">
        <v>2</v>
      </c>
      <c r="F80" s="24">
        <v>2</v>
      </c>
      <c r="G80" s="41"/>
      <c r="H80" s="25" t="s">
        <v>90</v>
      </c>
      <c r="I80" s="5">
        <v>79300</v>
      </c>
      <c r="J80" s="5">
        <f t="shared" si="57"/>
        <v>18239</v>
      </c>
      <c r="K80" s="5">
        <v>43</v>
      </c>
      <c r="L80" s="5">
        <f t="shared" si="58"/>
        <v>1636.111111111111</v>
      </c>
      <c r="M80" s="37">
        <f t="shared" si="59"/>
        <v>66.80389144905274</v>
      </c>
      <c r="N80" s="41"/>
      <c r="O80" s="5">
        <f t="shared" si="60"/>
        <v>1492.5373134328358</v>
      </c>
      <c r="P80" s="5">
        <f t="shared" si="61"/>
        <v>2593.0134328358213</v>
      </c>
      <c r="Q80" s="5">
        <f>Daryl_Levy</f>
        <v>11504.313</v>
      </c>
      <c r="R80" s="5">
        <f t="shared" si="62"/>
        <v>3362.1511940298506</v>
      </c>
      <c r="S80" s="5">
        <f t="shared" si="63"/>
        <v>1782.8358208955224</v>
      </c>
      <c r="T80" s="43">
        <f t="shared" si="64"/>
        <v>80.4542211140916</v>
      </c>
    </row>
    <row r="81" spans="1:20" s="4" customFormat="1" ht="15">
      <c r="A81" s="32" t="s">
        <v>78</v>
      </c>
      <c r="B81" s="33" t="s">
        <v>149</v>
      </c>
      <c r="C81" s="33" t="s">
        <v>104</v>
      </c>
      <c r="D81" s="33" t="s">
        <v>140</v>
      </c>
      <c r="E81" s="34">
        <v>2</v>
      </c>
      <c r="F81" s="34">
        <v>2</v>
      </c>
      <c r="G81" s="41"/>
      <c r="H81" s="38" t="s">
        <v>90</v>
      </c>
      <c r="I81" s="36">
        <v>81521</v>
      </c>
      <c r="J81" s="36">
        <f t="shared" si="57"/>
        <v>18749.83</v>
      </c>
      <c r="K81" s="36">
        <v>43</v>
      </c>
      <c r="L81" s="36">
        <f t="shared" si="58"/>
        <v>1636.111111111111</v>
      </c>
      <c r="M81" s="37">
        <f t="shared" si="59"/>
        <v>68.60233121205471</v>
      </c>
      <c r="N81" s="41"/>
      <c r="O81" s="36">
        <f t="shared" si="60"/>
        <v>1492.5373134328358</v>
      </c>
      <c r="P81" s="36">
        <f t="shared" si="61"/>
        <v>2593.0134328358213</v>
      </c>
      <c r="Q81" s="36">
        <f>Daryl_Levy</f>
        <v>11504.313</v>
      </c>
      <c r="R81" s="36">
        <f t="shared" si="62"/>
        <v>3362.1511940298506</v>
      </c>
      <c r="S81" s="36">
        <f t="shared" si="63"/>
        <v>1782.8358208955224</v>
      </c>
      <c r="T81" s="44">
        <f t="shared" si="64"/>
        <v>82.25266087709358</v>
      </c>
    </row>
    <row r="82" spans="1:20" s="4" customFormat="1" ht="15">
      <c r="A82" s="21" t="s">
        <v>79</v>
      </c>
      <c r="B82" s="4" t="s">
        <v>147</v>
      </c>
      <c r="C82" s="4" t="s">
        <v>104</v>
      </c>
      <c r="D82" s="4" t="s">
        <v>141</v>
      </c>
      <c r="E82" s="24">
        <v>2</v>
      </c>
      <c r="F82" s="24">
        <v>2</v>
      </c>
      <c r="G82" s="41"/>
      <c r="H82" s="25" t="s">
        <v>88</v>
      </c>
      <c r="I82" s="5">
        <v>60000</v>
      </c>
      <c r="J82" s="5">
        <f t="shared" si="57"/>
        <v>13800</v>
      </c>
      <c r="K82" s="5">
        <v>43</v>
      </c>
      <c r="L82" s="5">
        <f t="shared" si="58"/>
        <v>1636.111111111111</v>
      </c>
      <c r="M82" s="37">
        <f t="shared" si="59"/>
        <v>51.17584668275912</v>
      </c>
      <c r="N82" s="41"/>
      <c r="O82" s="5">
        <f t="shared" si="60"/>
        <v>1492.5373134328358</v>
      </c>
      <c r="P82" s="5">
        <f t="shared" si="61"/>
        <v>2593.0134328358213</v>
      </c>
      <c r="Q82" s="5">
        <f>Daryl_Levy</f>
        <v>11504.313</v>
      </c>
      <c r="R82" s="5">
        <f t="shared" si="62"/>
        <v>3362.1511940298506</v>
      </c>
      <c r="S82" s="5">
        <f t="shared" si="63"/>
        <v>1782.8358208955224</v>
      </c>
      <c r="T82" s="43">
        <f t="shared" si="64"/>
        <v>64.82617634779798</v>
      </c>
    </row>
    <row r="83" spans="1:20" ht="15">
      <c r="A83" s="163"/>
      <c r="B83" s="163"/>
      <c r="C83" s="163"/>
      <c r="D83" s="163"/>
      <c r="E83" s="163"/>
      <c r="F83" s="163"/>
      <c r="G83" s="163"/>
      <c r="H83" s="163"/>
      <c r="I83" s="163"/>
      <c r="J83" s="163"/>
      <c r="K83" s="163"/>
      <c r="L83" s="163"/>
      <c r="M83" s="163"/>
      <c r="N83" s="41"/>
      <c r="O83" s="5"/>
      <c r="P83" s="5"/>
      <c r="S83" s="5"/>
      <c r="T83" s="43"/>
    </row>
    <row r="84" spans="1:20" s="4" customFormat="1" ht="15">
      <c r="A84" s="32" t="s">
        <v>82</v>
      </c>
      <c r="B84" s="33" t="s">
        <v>264</v>
      </c>
      <c r="C84" s="33" t="s">
        <v>259</v>
      </c>
      <c r="D84" s="33" t="s">
        <v>260</v>
      </c>
      <c r="E84" s="34">
        <v>1</v>
      </c>
      <c r="F84" s="34">
        <v>2</v>
      </c>
      <c r="G84" s="41"/>
      <c r="H84" s="38" t="s">
        <v>91</v>
      </c>
      <c r="I84" s="36">
        <v>107291</v>
      </c>
      <c r="J84" s="36">
        <f>IF(F84=1,I84*Bargaining_unit_1_benefit,I84*bargaining_unit_2_benefit)</f>
        <v>24676.93</v>
      </c>
      <c r="K84" s="36">
        <v>51</v>
      </c>
      <c r="L84" s="36">
        <f>IF(E84=1,(loc_1_sf/loc_1_staff)*cost_per_sf_1,(loc_2_sf/loc_2_staff)*cost_per_sf_2)</f>
        <v>4153.877551020409</v>
      </c>
      <c r="M84" s="37">
        <f>((I84+J84)+equipment_cost_per_person+L84)/(working_hours_per_year-(K84*Working_hours_per_day))</f>
        <v>94.61504275531128</v>
      </c>
      <c r="N84" s="41"/>
      <c r="O84" s="36">
        <f>CIO_Levy/total_staff</f>
        <v>1492.5373134328358</v>
      </c>
      <c r="P84" s="36">
        <f>institutional_overhead/total_staff</f>
        <v>2593.0134328358213</v>
      </c>
      <c r="Q84" s="36"/>
      <c r="R84" s="36">
        <f>Manager_assess</f>
        <v>3362.1511940298506</v>
      </c>
      <c r="S84" s="36">
        <f>Admin_costs/total_staff</f>
        <v>1782.8358208955224</v>
      </c>
      <c r="T84" s="44">
        <f>((I84+J84)+equipment_cost_per_person+L84+O84+P84+Q84+R84+S84)/(working_hours_per_year-(K84*7))</f>
        <v>100.92436453329762</v>
      </c>
    </row>
    <row r="85" spans="1:20" s="4" customFormat="1" ht="15">
      <c r="A85" s="21" t="s">
        <v>83</v>
      </c>
      <c r="B85" s="4" t="s">
        <v>256</v>
      </c>
      <c r="C85" s="4" t="s">
        <v>259</v>
      </c>
      <c r="D85" s="4" t="s">
        <v>204</v>
      </c>
      <c r="E85" s="24">
        <v>1</v>
      </c>
      <c r="F85" s="24">
        <v>2</v>
      </c>
      <c r="G85" s="41"/>
      <c r="H85" s="25" t="s">
        <v>90</v>
      </c>
      <c r="I85" s="5">
        <v>79300</v>
      </c>
      <c r="J85" s="5">
        <f>IF(F85=1,I85*Bargaining_unit_1_benefit,I85*bargaining_unit_2_benefit)</f>
        <v>18239</v>
      </c>
      <c r="K85" s="5">
        <v>43</v>
      </c>
      <c r="L85" s="5">
        <f>IF(E85=1,(loc_1_sf/loc_1_staff)*cost_per_sf_1,(loc_2_sf/loc_2_staff)*cost_per_sf_2)</f>
        <v>4153.877551020409</v>
      </c>
      <c r="M85" s="37">
        <f>((I85+J85)+equipment_cost_per_person+L85)/(working_hours_per_year-(K85*Working_hours_per_day))</f>
        <v>68.4614072093617</v>
      </c>
      <c r="N85" s="41"/>
      <c r="O85" s="5">
        <f>CIO_Levy/total_staff</f>
        <v>1492.5373134328358</v>
      </c>
      <c r="P85" s="5">
        <f>institutional_overhead/total_staff</f>
        <v>2593.0134328358213</v>
      </c>
      <c r="Q85" s="5">
        <f>((I84+J84)*supervisor_assess)/5</f>
        <v>13196.793</v>
      </c>
      <c r="R85" s="5">
        <f>Manager_assess</f>
        <v>3362.1511940298506</v>
      </c>
      <c r="S85" s="5">
        <f>Admin_costs/total_staff</f>
        <v>1782.8358208955224</v>
      </c>
      <c r="T85" s="43">
        <f>((I85+J85)+equipment_cost_per_person+L85+O85+P85+Q85+R85+S85)/(working_hours_per_year-(K85*7))</f>
        <v>83.22594358934461</v>
      </c>
    </row>
    <row r="86" spans="1:20" ht="14.25">
      <c r="A86" s="163"/>
      <c r="B86" s="163"/>
      <c r="C86" s="163"/>
      <c r="D86" s="163"/>
      <c r="E86" s="164"/>
      <c r="F86" s="164"/>
      <c r="G86" s="164"/>
      <c r="H86" s="165"/>
      <c r="I86" s="166"/>
      <c r="J86" s="166"/>
      <c r="K86" s="166"/>
      <c r="L86" s="166"/>
      <c r="M86" s="167"/>
      <c r="N86" s="173"/>
      <c r="O86" s="142"/>
      <c r="P86" s="142"/>
      <c r="Q86" s="142"/>
      <c r="R86" s="142"/>
      <c r="S86" s="142"/>
      <c r="T86" s="142"/>
    </row>
    <row r="87" spans="1:20" ht="9" customHeight="1">
      <c r="A87" s="168"/>
      <c r="B87" s="168"/>
      <c r="C87" s="168"/>
      <c r="D87" s="168"/>
      <c r="E87" s="169"/>
      <c r="F87" s="169"/>
      <c r="G87" s="169"/>
      <c r="H87" s="170"/>
      <c r="I87" s="171"/>
      <c r="J87" s="171"/>
      <c r="K87" s="171"/>
      <c r="L87" s="171"/>
      <c r="M87" s="172"/>
      <c r="N87" s="142"/>
      <c r="O87" s="142"/>
      <c r="P87" s="142"/>
      <c r="Q87" s="142"/>
      <c r="R87" s="142"/>
      <c r="S87" s="142"/>
      <c r="T87" s="142"/>
    </row>
  </sheetData>
  <sheetProtection selectLockedCells="1" selectUnlockedCells="1"/>
  <mergeCells count="27">
    <mergeCell ref="O5:T5"/>
    <mergeCell ref="H5:M5"/>
    <mergeCell ref="O8:T8"/>
    <mergeCell ref="H8:M8"/>
    <mergeCell ref="A8:D8"/>
    <mergeCell ref="A5:F5"/>
    <mergeCell ref="A11:M11"/>
    <mergeCell ref="A18:M18"/>
    <mergeCell ref="A28:M28"/>
    <mergeCell ref="A38:M38"/>
    <mergeCell ref="A45:M45"/>
    <mergeCell ref="A51:M51"/>
    <mergeCell ref="A60:M60"/>
    <mergeCell ref="A67:M67"/>
    <mergeCell ref="A76:M76"/>
    <mergeCell ref="A83:M83"/>
    <mergeCell ref="A86:M86"/>
    <mergeCell ref="A87:T87"/>
    <mergeCell ref="N86:T86"/>
    <mergeCell ref="A4:T4"/>
    <mergeCell ref="O2:T2"/>
    <mergeCell ref="O1:T1"/>
    <mergeCell ref="H1:M1"/>
    <mergeCell ref="H2:M2"/>
    <mergeCell ref="A2:F2"/>
    <mergeCell ref="A1:F1"/>
    <mergeCell ref="A3:B3"/>
  </mergeCells>
  <printOptions horizontalCentered="1"/>
  <pageMargins left="0.39" right="0.39" top="0.39" bottom="0.39" header="0" footer="0"/>
  <pageSetup fitToHeight="1" fitToWidth="1" horizontalDpi="600" verticalDpi="600" orientation="landscape" paperSize="3" scale="48" r:id="rId2"/>
  <headerFooter alignWithMargins="0">
    <oddFooter>&amp;CPage &amp;P of &amp;N</oddFooter>
  </headerFooter>
  <ignoredErrors>
    <ignoredError sqref="Q25 Q54"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2:I176"/>
  <sheetViews>
    <sheetView zoomScalePageLayoutView="0" workbookViewId="0" topLeftCell="A1">
      <selection activeCell="H27" sqref="H26:H27"/>
    </sheetView>
  </sheetViews>
  <sheetFormatPr defaultColWidth="8.8515625" defaultRowHeight="12.75"/>
  <cols>
    <col min="1" max="1" width="35.28125" style="15" customWidth="1"/>
    <col min="2" max="2" width="20.28125" style="16" customWidth="1"/>
    <col min="3" max="3" width="22.140625" style="16" customWidth="1"/>
  </cols>
  <sheetData>
    <row r="1" ht="25.5" customHeight="1"/>
    <row r="2" spans="1:3" ht="34.5" customHeight="1">
      <c r="A2" s="159" t="s">
        <v>290</v>
      </c>
      <c r="B2" s="181"/>
      <c r="C2" s="91" t="s">
        <v>280</v>
      </c>
    </row>
    <row r="3" spans="1:2" ht="27" customHeight="1">
      <c r="A3" s="161" t="s">
        <v>284</v>
      </c>
      <c r="B3" s="160"/>
    </row>
    <row r="4" spans="1:3" ht="10.5" customHeight="1">
      <c r="A4" s="161"/>
      <c r="B4" s="142"/>
      <c r="C4" s="142"/>
    </row>
    <row r="5" spans="1:3" s="20" customFormat="1" ht="7.5" customHeight="1">
      <c r="A5" s="154"/>
      <c r="B5" s="154"/>
      <c r="C5" s="154"/>
    </row>
    <row r="6" spans="1:3" ht="12.75">
      <c r="A6" s="51"/>
      <c r="B6" s="52" t="s">
        <v>27</v>
      </c>
      <c r="C6" s="51"/>
    </row>
    <row r="7" spans="1:3" s="3" customFormat="1" ht="33" customHeight="1">
      <c r="A7" s="65" t="s">
        <v>28</v>
      </c>
      <c r="B7" s="66" t="s">
        <v>29</v>
      </c>
      <c r="C7" s="67" t="s">
        <v>32</v>
      </c>
    </row>
    <row r="8" spans="1:9" s="20" customFormat="1" ht="15">
      <c r="A8" s="47" t="s">
        <v>145</v>
      </c>
      <c r="B8" s="45">
        <v>64.94674732566753</v>
      </c>
      <c r="C8" s="45">
        <v>79.3043466761738</v>
      </c>
      <c r="D8" s="21"/>
      <c r="E8" s="21"/>
      <c r="F8" s="21"/>
      <c r="G8" s="21"/>
      <c r="H8" s="21"/>
      <c r="I8" s="21"/>
    </row>
    <row r="9" spans="1:9" s="20" customFormat="1" ht="15">
      <c r="A9" s="48" t="s">
        <v>157</v>
      </c>
      <c r="B9" s="46">
        <v>40.65188252006909</v>
      </c>
      <c r="C9" s="46">
        <v>48.06536608248082</v>
      </c>
      <c r="D9" s="21"/>
      <c r="E9" s="21"/>
      <c r="F9" s="21"/>
      <c r="G9" s="21"/>
      <c r="H9" s="21"/>
      <c r="I9" s="21"/>
    </row>
    <row r="10" spans="1:3" s="21" customFormat="1" ht="14.25">
      <c r="A10" s="47" t="s">
        <v>51</v>
      </c>
      <c r="B10" s="45">
        <v>54.72391525998154</v>
      </c>
      <c r="C10" s="45">
        <v>65.57884282860766</v>
      </c>
    </row>
    <row r="11" spans="1:3" s="21" customFormat="1" ht="14.25">
      <c r="A11" s="48" t="s">
        <v>25</v>
      </c>
      <c r="B11" s="46">
        <v>47.98826390989667</v>
      </c>
      <c r="C11" s="46">
        <v>58.16224385609257</v>
      </c>
    </row>
    <row r="12" spans="1:3" s="21" customFormat="1" ht="14.25">
      <c r="A12" s="47" t="s">
        <v>265</v>
      </c>
      <c r="B12" s="45">
        <v>55.29922020118232</v>
      </c>
      <c r="C12" s="45">
        <v>63.34820505794408</v>
      </c>
    </row>
    <row r="13" spans="1:3" s="21" customFormat="1" ht="14.25">
      <c r="A13" s="48" t="s">
        <v>266</v>
      </c>
      <c r="B13" s="46">
        <v>48.97327102947933</v>
      </c>
      <c r="C13" s="46">
        <v>57.6742891355789</v>
      </c>
    </row>
    <row r="14" spans="1:3" s="21" customFormat="1" ht="14.25">
      <c r="A14" s="47" t="s">
        <v>142</v>
      </c>
      <c r="B14" s="45">
        <v>47.916673332488585</v>
      </c>
      <c r="C14" s="45">
        <v>59.18549255558329</v>
      </c>
    </row>
    <row r="15" spans="1:3" s="21" customFormat="1" ht="14.25">
      <c r="A15" s="48" t="s">
        <v>129</v>
      </c>
      <c r="B15" s="46">
        <v>74.02844964582279</v>
      </c>
      <c r="C15" s="46">
        <v>85.64485965301296</v>
      </c>
    </row>
    <row r="16" spans="1:3" s="21" customFormat="1" ht="14.25">
      <c r="A16" s="47" t="s">
        <v>204</v>
      </c>
      <c r="B16" s="45">
        <v>72.59517052625435</v>
      </c>
      <c r="C16" s="45">
        <v>84.37425970038878</v>
      </c>
    </row>
    <row r="17" spans="1:3" s="21" customFormat="1" ht="14.25">
      <c r="A17" s="48" t="s">
        <v>140</v>
      </c>
      <c r="B17" s="46">
        <v>62.94923409551078</v>
      </c>
      <c r="C17" s="46">
        <v>76.59956376054964</v>
      </c>
    </row>
    <row r="18" spans="1:3" s="21" customFormat="1" ht="14.25">
      <c r="A18" s="47" t="s">
        <v>141</v>
      </c>
      <c r="B18" s="45">
        <v>58.34243626774244</v>
      </c>
      <c r="C18" s="45">
        <v>69.96284607408732</v>
      </c>
    </row>
    <row r="19" spans="1:3" s="21" customFormat="1" ht="14.25">
      <c r="A19" s="48" t="s">
        <v>26</v>
      </c>
      <c r="B19" s="46">
        <v>54.07785055918535</v>
      </c>
      <c r="C19" s="46">
        <v>63.64411397922129</v>
      </c>
    </row>
    <row r="20" spans="1:3" s="21" customFormat="1" ht="15" thickBot="1">
      <c r="A20" s="47" t="s">
        <v>260</v>
      </c>
      <c r="B20" s="45">
        <v>80.95532939062177</v>
      </c>
      <c r="C20" s="45">
        <v>86.8133655649526</v>
      </c>
    </row>
    <row r="21" spans="1:3" s="20" customFormat="1" ht="16.5" thickBot="1" thickTop="1">
      <c r="A21" s="49" t="s">
        <v>294</v>
      </c>
      <c r="B21" s="50">
        <v>58.566597191075715</v>
      </c>
      <c r="C21" s="50">
        <v>68.264327801123</v>
      </c>
    </row>
    <row r="22" spans="1:3" ht="13.5" thickTop="1">
      <c r="A22" s="179"/>
      <c r="B22" s="179"/>
      <c r="C22" s="179"/>
    </row>
    <row r="23" spans="1:3" ht="4.5" customHeight="1">
      <c r="A23" s="180"/>
      <c r="B23" s="180"/>
      <c r="C23" s="180"/>
    </row>
    <row r="24" spans="1:9" s="11" customFormat="1" ht="15.75">
      <c r="A24" s="51"/>
      <c r="B24" s="52" t="s">
        <v>27</v>
      </c>
      <c r="C24" s="51"/>
      <c r="D24"/>
      <c r="E24"/>
      <c r="F24"/>
      <c r="G24"/>
      <c r="H24"/>
      <c r="I24"/>
    </row>
    <row r="25" spans="1:3" s="17" customFormat="1" ht="30">
      <c r="A25" s="63" t="s">
        <v>238</v>
      </c>
      <c r="B25" s="107" t="s">
        <v>29</v>
      </c>
      <c r="C25" s="64" t="s">
        <v>32</v>
      </c>
    </row>
    <row r="26" spans="1:3" s="21" customFormat="1" ht="14.25">
      <c r="A26" s="47" t="s">
        <v>102</v>
      </c>
      <c r="B26" s="45">
        <v>60.54919197901379</v>
      </c>
      <c r="C26" s="45">
        <v>71.12093458658401</v>
      </c>
    </row>
    <row r="27" spans="1:3" s="21" customFormat="1" ht="14.25">
      <c r="A27" s="48" t="s">
        <v>104</v>
      </c>
      <c r="B27" s="46">
        <v>64.20884762823403</v>
      </c>
      <c r="C27" s="46">
        <v>76.62079550287264</v>
      </c>
    </row>
    <row r="28" spans="1:3" s="21" customFormat="1" ht="14.25">
      <c r="A28" s="47" t="s">
        <v>144</v>
      </c>
      <c r="B28" s="45">
        <v>70.04155053456931</v>
      </c>
      <c r="C28" s="45">
        <v>83.03249639897564</v>
      </c>
    </row>
    <row r="29" spans="1:3" s="21" customFormat="1" ht="14.25">
      <c r="A29" s="48" t="s">
        <v>259</v>
      </c>
      <c r="B29" s="46">
        <v>81.53822498233649</v>
      </c>
      <c r="C29" s="46">
        <v>92.07515406132111</v>
      </c>
    </row>
    <row r="30" spans="1:3" s="21" customFormat="1" ht="14.25">
      <c r="A30" s="47" t="s">
        <v>97</v>
      </c>
      <c r="B30" s="45">
        <v>79.75941209637494</v>
      </c>
      <c r="C30" s="45">
        <v>85.97945101901243</v>
      </c>
    </row>
    <row r="31" spans="1:3" s="21" customFormat="1" ht="14.25">
      <c r="A31" s="48" t="s">
        <v>98</v>
      </c>
      <c r="B31" s="46">
        <v>40.65188252006909</v>
      </c>
      <c r="C31" s="46">
        <v>48.06536608248082</v>
      </c>
    </row>
    <row r="32" spans="1:3" s="21" customFormat="1" ht="14.25">
      <c r="A32" s="47" t="s">
        <v>99</v>
      </c>
      <c r="B32" s="45">
        <v>55.03981138437481</v>
      </c>
      <c r="C32" s="45">
        <v>63.11771250982411</v>
      </c>
    </row>
    <row r="33" spans="1:3" s="21" customFormat="1" ht="14.25">
      <c r="A33" s="48" t="s">
        <v>101</v>
      </c>
      <c r="B33" s="46">
        <v>64.25120623074115</v>
      </c>
      <c r="C33" s="46">
        <v>73.88966516365018</v>
      </c>
    </row>
    <row r="34" spans="1:3" s="21" customFormat="1" ht="14.25">
      <c r="A34" s="47" t="s">
        <v>100</v>
      </c>
      <c r="B34" s="45">
        <v>52.71325171326267</v>
      </c>
      <c r="C34" s="45">
        <v>60.90215826512121</v>
      </c>
    </row>
    <row r="35" spans="1:3" s="21" customFormat="1" ht="14.25">
      <c r="A35" s="48" t="s">
        <v>103</v>
      </c>
      <c r="B35" s="46">
        <v>57.09645988462015</v>
      </c>
      <c r="C35" s="46">
        <v>67.93660450182728</v>
      </c>
    </row>
    <row r="36" spans="1:3" s="21" customFormat="1" ht="15" thickBot="1">
      <c r="A36" s="47" t="s">
        <v>291</v>
      </c>
      <c r="B36" s="45">
        <v>58.33231304806443</v>
      </c>
      <c r="C36" s="45">
        <v>66.7816253295218</v>
      </c>
    </row>
    <row r="37" spans="1:3" s="21" customFormat="1" ht="16.5" thickBot="1" thickTop="1">
      <c r="A37" s="49" t="s">
        <v>294</v>
      </c>
      <c r="B37" s="50">
        <v>58.424711512131296</v>
      </c>
      <c r="C37" s="50">
        <v>68.1329721829909</v>
      </c>
    </row>
    <row r="38" spans="1:3" s="20" customFormat="1" ht="15.75" thickTop="1">
      <c r="A38"/>
      <c r="B38"/>
      <c r="C38"/>
    </row>
    <row r="39" spans="1:3" s="20" customFormat="1" ht="7.5" customHeight="1">
      <c r="A39" s="154"/>
      <c r="B39" s="154"/>
      <c r="C39" s="154"/>
    </row>
    <row r="40" spans="1:3" s="21" customFormat="1" ht="30.75" customHeight="1">
      <c r="A40" s="142"/>
      <c r="B40" s="142"/>
      <c r="C40" s="142"/>
    </row>
    <row r="41" spans="1:3" ht="12.75">
      <c r="A41"/>
      <c r="B41"/>
      <c r="C41"/>
    </row>
    <row r="42" spans="1:3" ht="12.75">
      <c r="A42"/>
      <c r="B42"/>
      <c r="C42"/>
    </row>
    <row r="43" spans="1:3" ht="12.75">
      <c r="A43"/>
      <c r="B43"/>
      <c r="C43"/>
    </row>
    <row r="44" spans="1:3" ht="12.75">
      <c r="A44"/>
      <c r="B44"/>
      <c r="C44"/>
    </row>
    <row r="45" spans="1:3" ht="12.75">
      <c r="A45"/>
      <c r="B45"/>
      <c r="C45"/>
    </row>
    <row r="46" spans="1:3" ht="12.75">
      <c r="A46"/>
      <c r="B46"/>
      <c r="C46"/>
    </row>
    <row r="47" spans="1:3" ht="12.75">
      <c r="A47"/>
      <c r="B47"/>
      <c r="C47"/>
    </row>
    <row r="48" spans="1:3" ht="12.75">
      <c r="A48"/>
      <c r="B48"/>
      <c r="C48"/>
    </row>
    <row r="49" spans="1:3" ht="12.75">
      <c r="A49"/>
      <c r="B49"/>
      <c r="C49"/>
    </row>
    <row r="50" spans="1:3" ht="12.75">
      <c r="A50"/>
      <c r="B50"/>
      <c r="C50"/>
    </row>
    <row r="51" spans="1:3" ht="12.75">
      <c r="A51"/>
      <c r="B51"/>
      <c r="C51"/>
    </row>
    <row r="52" spans="1:3" ht="12.75">
      <c r="A52"/>
      <c r="B52"/>
      <c r="C52"/>
    </row>
    <row r="53" spans="1:3" ht="12.75">
      <c r="A53"/>
      <c r="B53"/>
      <c r="C53"/>
    </row>
    <row r="54" spans="1:3" ht="12.75">
      <c r="A54"/>
      <c r="B54"/>
      <c r="C54"/>
    </row>
    <row r="55" spans="1:3" ht="12.75">
      <c r="A55"/>
      <c r="B55"/>
      <c r="C55"/>
    </row>
    <row r="56" spans="1:3" ht="12.75">
      <c r="A56"/>
      <c r="B56"/>
      <c r="C56"/>
    </row>
    <row r="57" spans="1:3" ht="12.75">
      <c r="A57"/>
      <c r="B57"/>
      <c r="C57"/>
    </row>
    <row r="58" spans="1:3" ht="12.75">
      <c r="A58"/>
      <c r="B58"/>
      <c r="C58"/>
    </row>
    <row r="59" spans="1:3" ht="12.75">
      <c r="A59"/>
      <c r="B59"/>
      <c r="C59"/>
    </row>
    <row r="60" spans="1:3" ht="12.75">
      <c r="A60"/>
      <c r="B60"/>
      <c r="C60"/>
    </row>
    <row r="61" spans="1:3" ht="12.75">
      <c r="A61"/>
      <c r="B61"/>
      <c r="C61"/>
    </row>
    <row r="62" spans="1:3" ht="12.75">
      <c r="A62"/>
      <c r="B62"/>
      <c r="C62"/>
    </row>
    <row r="63" spans="1:3" ht="12.75">
      <c r="A63"/>
      <c r="B63"/>
      <c r="C63"/>
    </row>
    <row r="64" spans="1:3" ht="12.75">
      <c r="A64"/>
      <c r="B64"/>
      <c r="C64"/>
    </row>
    <row r="65" spans="1:3" ht="12.75">
      <c r="A65"/>
      <c r="B65"/>
      <c r="C65"/>
    </row>
    <row r="66" spans="1:3" ht="12.75">
      <c r="A66"/>
      <c r="B66"/>
      <c r="C66"/>
    </row>
    <row r="67" spans="1:3" ht="12.75">
      <c r="A67"/>
      <c r="B67"/>
      <c r="C67"/>
    </row>
    <row r="68" spans="1:3" ht="12.75">
      <c r="A68"/>
      <c r="B68"/>
      <c r="C68"/>
    </row>
    <row r="69" spans="1:3" ht="12.75">
      <c r="A69"/>
      <c r="B69"/>
      <c r="C69"/>
    </row>
    <row r="70" spans="1:3" ht="12.75">
      <c r="A70"/>
      <c r="B70"/>
      <c r="C70"/>
    </row>
    <row r="71" spans="1:3" ht="12.75">
      <c r="A71"/>
      <c r="B71"/>
      <c r="C71"/>
    </row>
    <row r="72" spans="1:3" ht="12.75">
      <c r="A72"/>
      <c r="B72"/>
      <c r="C72"/>
    </row>
    <row r="73" spans="1:3" ht="12.75">
      <c r="A73"/>
      <c r="B73"/>
      <c r="C73"/>
    </row>
    <row r="74" spans="1:3" ht="12.75">
      <c r="A74"/>
      <c r="B74"/>
      <c r="C74"/>
    </row>
    <row r="75" spans="1:3" ht="12.75">
      <c r="A75"/>
      <c r="B75"/>
      <c r="C75"/>
    </row>
    <row r="76" spans="1:3" ht="12.75">
      <c r="A76"/>
      <c r="B76"/>
      <c r="C76"/>
    </row>
    <row r="77" spans="1:3" ht="12.75">
      <c r="A77"/>
      <c r="B77"/>
      <c r="C77"/>
    </row>
    <row r="78" spans="1:3" ht="12.75">
      <c r="A78"/>
      <c r="B78"/>
      <c r="C78"/>
    </row>
    <row r="79" spans="1:3" ht="12.75">
      <c r="A79"/>
      <c r="B79"/>
      <c r="C79"/>
    </row>
    <row r="80" spans="1:3" ht="12.75">
      <c r="A80"/>
      <c r="B80"/>
      <c r="C80"/>
    </row>
    <row r="81" spans="1:3" ht="12.75">
      <c r="A81"/>
      <c r="B81"/>
      <c r="C81"/>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row r="88" spans="1:3" ht="12.75">
      <c r="A88"/>
      <c r="B88"/>
      <c r="C88"/>
    </row>
    <row r="89" spans="1:3" ht="12.75">
      <c r="A89"/>
      <c r="B89"/>
      <c r="C89"/>
    </row>
    <row r="90" spans="1:3" ht="12.75">
      <c r="A90"/>
      <c r="B90"/>
      <c r="C90"/>
    </row>
    <row r="91" spans="1:3" ht="12.75">
      <c r="A91"/>
      <c r="B91"/>
      <c r="C91"/>
    </row>
    <row r="92" spans="1:3" ht="12.75">
      <c r="A92"/>
      <c r="B92"/>
      <c r="C92"/>
    </row>
    <row r="93" spans="1:3" ht="12.75">
      <c r="A93"/>
      <c r="B93"/>
      <c r="C93"/>
    </row>
    <row r="94" spans="1:3" ht="12.75">
      <c r="A94"/>
      <c r="B94"/>
      <c r="C94"/>
    </row>
    <row r="95" spans="1:3" ht="12.75">
      <c r="A95"/>
      <c r="B95"/>
      <c r="C95"/>
    </row>
    <row r="96" spans="1:3" ht="12.75">
      <c r="A96"/>
      <c r="B96"/>
      <c r="C96"/>
    </row>
    <row r="97" spans="1:3" ht="12.75">
      <c r="A97"/>
      <c r="B97"/>
      <c r="C97"/>
    </row>
    <row r="98" spans="1:3" ht="12.75">
      <c r="A98"/>
      <c r="B98"/>
      <c r="C98"/>
    </row>
    <row r="99" spans="1:3" ht="12.75">
      <c r="A99"/>
      <c r="B99"/>
      <c r="C99"/>
    </row>
    <row r="100" spans="1:3" ht="12.75">
      <c r="A100"/>
      <c r="B100"/>
      <c r="C100"/>
    </row>
    <row r="101" spans="1:3" ht="12.75">
      <c r="A101"/>
      <c r="B101"/>
      <c r="C101"/>
    </row>
    <row r="102" spans="1:3" ht="12.75">
      <c r="A102"/>
      <c r="B102"/>
      <c r="C102"/>
    </row>
    <row r="103" spans="1:3" ht="12.75">
      <c r="A103"/>
      <c r="B103"/>
      <c r="C103"/>
    </row>
    <row r="104" spans="1:3" ht="12.75">
      <c r="A104"/>
      <c r="B104"/>
      <c r="C104"/>
    </row>
    <row r="105" spans="1:3" ht="12.75">
      <c r="A105"/>
      <c r="B105"/>
      <c r="C105"/>
    </row>
    <row r="106" spans="1:3" ht="12.75">
      <c r="A106"/>
      <c r="B106"/>
      <c r="C106"/>
    </row>
    <row r="107" spans="1:3" ht="12.75">
      <c r="A107"/>
      <c r="B107"/>
      <c r="C107"/>
    </row>
    <row r="108" spans="1:3" ht="12.75">
      <c r="A108"/>
      <c r="B108"/>
      <c r="C108"/>
    </row>
    <row r="109" spans="1:3" ht="12.75">
      <c r="A109"/>
      <c r="B109"/>
      <c r="C109"/>
    </row>
    <row r="110" spans="1:3" ht="12.75">
      <c r="A110"/>
      <c r="B110"/>
      <c r="C110"/>
    </row>
    <row r="111" spans="1:3" ht="12.75">
      <c r="A111"/>
      <c r="B111"/>
      <c r="C111"/>
    </row>
    <row r="112" spans="1:3" ht="12.75">
      <c r="A112"/>
      <c r="B112"/>
      <c r="C112"/>
    </row>
    <row r="113" spans="1:3" ht="12.75">
      <c r="A113"/>
      <c r="B113"/>
      <c r="C113"/>
    </row>
    <row r="114" spans="1:3" ht="12.75">
      <c r="A114"/>
      <c r="B114"/>
      <c r="C114"/>
    </row>
    <row r="115" spans="1:3" ht="12.75">
      <c r="A115"/>
      <c r="B115"/>
      <c r="C115"/>
    </row>
    <row r="116" spans="1:3" ht="12.75">
      <c r="A116"/>
      <c r="B116"/>
      <c r="C116"/>
    </row>
    <row r="117" spans="1:3" ht="12.75">
      <c r="A117"/>
      <c r="B117"/>
      <c r="C117"/>
    </row>
    <row r="118" spans="1:3" ht="12.75">
      <c r="A118"/>
      <c r="B118"/>
      <c r="C118"/>
    </row>
    <row r="119" spans="1:3" ht="12.75">
      <c r="A119"/>
      <c r="B119"/>
      <c r="C119"/>
    </row>
    <row r="120" spans="1:3" ht="12.75">
      <c r="A120"/>
      <c r="B120"/>
      <c r="C120"/>
    </row>
    <row r="121" spans="1:3" ht="12.75">
      <c r="A121"/>
      <c r="B121"/>
      <c r="C121"/>
    </row>
    <row r="122" spans="1:3" ht="12.75">
      <c r="A122"/>
      <c r="B122"/>
      <c r="C122"/>
    </row>
    <row r="123" spans="1:3" ht="12.75">
      <c r="A123"/>
      <c r="B123"/>
      <c r="C123"/>
    </row>
    <row r="124" spans="1:3" ht="12.75">
      <c r="A124"/>
      <c r="B124"/>
      <c r="C124"/>
    </row>
    <row r="125" spans="1:3" ht="12.75">
      <c r="A125"/>
      <c r="B125"/>
      <c r="C125"/>
    </row>
    <row r="126" spans="1:3" ht="12.75">
      <c r="A126"/>
      <c r="B126"/>
      <c r="C126"/>
    </row>
    <row r="127" spans="1:3" ht="12.75">
      <c r="A127"/>
      <c r="B127"/>
      <c r="C127"/>
    </row>
    <row r="128" spans="1:3" ht="12.75">
      <c r="A128"/>
      <c r="B128"/>
      <c r="C128"/>
    </row>
    <row r="129" spans="1:3" ht="12.75">
      <c r="A129"/>
      <c r="B129"/>
      <c r="C129"/>
    </row>
    <row r="130" spans="1:3" ht="12.75">
      <c r="A130"/>
      <c r="B130"/>
      <c r="C130"/>
    </row>
    <row r="131" spans="1:3" ht="12.75">
      <c r="A131"/>
      <c r="B131"/>
      <c r="C131"/>
    </row>
    <row r="132" spans="1:3" ht="12.75">
      <c r="A132"/>
      <c r="B132"/>
      <c r="C132"/>
    </row>
    <row r="133" spans="1:3" ht="12.75">
      <c r="A133"/>
      <c r="B133"/>
      <c r="C133"/>
    </row>
    <row r="134" spans="1:3" ht="12.75">
      <c r="A134"/>
      <c r="B134"/>
      <c r="C134"/>
    </row>
    <row r="135" spans="1:3" ht="12.75">
      <c r="A135"/>
      <c r="B135"/>
      <c r="C135"/>
    </row>
    <row r="136" spans="1:3" ht="12.75">
      <c r="A136"/>
      <c r="B136"/>
      <c r="C136"/>
    </row>
    <row r="137" spans="1:3" ht="12.75">
      <c r="A137"/>
      <c r="B137"/>
      <c r="C137"/>
    </row>
    <row r="138" spans="1:3" ht="12.75">
      <c r="A138"/>
      <c r="B138"/>
      <c r="C138"/>
    </row>
    <row r="139" spans="1:3" ht="12.75">
      <c r="A139"/>
      <c r="B139"/>
      <c r="C139"/>
    </row>
    <row r="140" spans="1:3" ht="12.75">
      <c r="A140"/>
      <c r="B140"/>
      <c r="C140"/>
    </row>
    <row r="141" spans="1:3" ht="12.75">
      <c r="A141"/>
      <c r="B141"/>
      <c r="C141"/>
    </row>
    <row r="142" spans="1:3" ht="12.75">
      <c r="A142"/>
      <c r="B142"/>
      <c r="C142"/>
    </row>
    <row r="143" spans="1:3" ht="12.75">
      <c r="A143"/>
      <c r="B143"/>
      <c r="C143"/>
    </row>
    <row r="144" spans="1:3" ht="12.75">
      <c r="A144"/>
      <c r="B144"/>
      <c r="C144"/>
    </row>
    <row r="145" spans="1:3" ht="12.75">
      <c r="A145"/>
      <c r="B145"/>
      <c r="C145"/>
    </row>
    <row r="146" spans="1:3" ht="12.75">
      <c r="A146"/>
      <c r="B146"/>
      <c r="C146"/>
    </row>
    <row r="147" spans="1:3" ht="12.75">
      <c r="A147"/>
      <c r="B147"/>
      <c r="C147"/>
    </row>
    <row r="148" spans="1:3" ht="12.75">
      <c r="A148"/>
      <c r="B148"/>
      <c r="C148"/>
    </row>
    <row r="149" spans="1:3" ht="12.75">
      <c r="A149"/>
      <c r="B149"/>
      <c r="C149"/>
    </row>
    <row r="150" spans="1:3" ht="12.75">
      <c r="A150"/>
      <c r="B150"/>
      <c r="C150"/>
    </row>
    <row r="151" spans="1:3" ht="12.75">
      <c r="A151"/>
      <c r="B151"/>
      <c r="C151"/>
    </row>
    <row r="152" spans="1:3" ht="12.75">
      <c r="A152"/>
      <c r="B152"/>
      <c r="C152"/>
    </row>
    <row r="153" spans="1:3" ht="12.75">
      <c r="A153"/>
      <c r="B153"/>
      <c r="C153"/>
    </row>
    <row r="154" spans="1:3" ht="12.75">
      <c r="A154"/>
      <c r="B154"/>
      <c r="C154"/>
    </row>
    <row r="155" spans="1:3" ht="12.75">
      <c r="A155"/>
      <c r="B155"/>
      <c r="C155"/>
    </row>
    <row r="156" spans="1:3" ht="12.75">
      <c r="A156"/>
      <c r="B156"/>
      <c r="C156"/>
    </row>
    <row r="157" spans="1:3" ht="12.75">
      <c r="A157"/>
      <c r="B157"/>
      <c r="C157"/>
    </row>
    <row r="158" spans="1:3" ht="12.75">
      <c r="A158"/>
      <c r="B158"/>
      <c r="C158"/>
    </row>
    <row r="159" spans="1:3" ht="12.75">
      <c r="A159"/>
      <c r="B159"/>
      <c r="C159"/>
    </row>
    <row r="160" spans="1:3" ht="12.75">
      <c r="A160"/>
      <c r="B160"/>
      <c r="C160"/>
    </row>
    <row r="161" spans="1:3" ht="12.75">
      <c r="A161"/>
      <c r="B161"/>
      <c r="C161"/>
    </row>
    <row r="162" spans="1:3" ht="12.75">
      <c r="A162"/>
      <c r="B162"/>
      <c r="C162"/>
    </row>
    <row r="163" spans="1:3" ht="12.75">
      <c r="A163"/>
      <c r="B163"/>
      <c r="C163"/>
    </row>
    <row r="164" spans="1:3" ht="12.75">
      <c r="A164"/>
      <c r="B164"/>
      <c r="C164"/>
    </row>
    <row r="165" spans="1:3" ht="12.75">
      <c r="A165"/>
      <c r="B165"/>
      <c r="C165"/>
    </row>
    <row r="166" spans="1:3" ht="12.75">
      <c r="A166"/>
      <c r="B166"/>
      <c r="C166"/>
    </row>
    <row r="167" spans="1:3" ht="12.75">
      <c r="A167"/>
      <c r="B167"/>
      <c r="C167"/>
    </row>
    <row r="168" spans="1:3" ht="12.75">
      <c r="A168"/>
      <c r="B168"/>
      <c r="C168"/>
    </row>
    <row r="169" spans="1:3" ht="12.75">
      <c r="A169"/>
      <c r="B169"/>
      <c r="C169"/>
    </row>
    <row r="170" spans="1:3" ht="12.75">
      <c r="A170"/>
      <c r="B170"/>
      <c r="C170"/>
    </row>
    <row r="171" spans="1:3" ht="12.75">
      <c r="A171"/>
      <c r="B171"/>
      <c r="C171"/>
    </row>
    <row r="172" spans="1:3" ht="12.75">
      <c r="A172"/>
      <c r="B172"/>
      <c r="C172"/>
    </row>
    <row r="173" spans="1:3" ht="12.75">
      <c r="A173"/>
      <c r="B173"/>
      <c r="C173"/>
    </row>
    <row r="174" spans="1:3" ht="12.75">
      <c r="A174"/>
      <c r="B174"/>
      <c r="C174"/>
    </row>
    <row r="175" spans="1:3" ht="12.75">
      <c r="A175"/>
      <c r="B175"/>
      <c r="C175"/>
    </row>
    <row r="176" spans="1:3" ht="12.75">
      <c r="A176"/>
      <c r="B176"/>
      <c r="C176"/>
    </row>
  </sheetData>
  <sheetProtection/>
  <mergeCells count="7">
    <mergeCell ref="A22:C23"/>
    <mergeCell ref="A40:C40"/>
    <mergeCell ref="A39:C39"/>
    <mergeCell ref="A5:C5"/>
    <mergeCell ref="A2:B2"/>
    <mergeCell ref="A3:B3"/>
    <mergeCell ref="A4:C4"/>
  </mergeCells>
  <printOptions horizontalCentered="1"/>
  <pageMargins left="0.75" right="0.75" top="1" bottom="1" header="0.5" footer="0.5"/>
  <pageSetup fitToHeight="1" fitToWidth="1" horizontalDpi="600" verticalDpi="600" orientation="portrait" scale="91"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97"/>
  <sheetViews>
    <sheetView zoomScalePageLayoutView="0" workbookViewId="0" topLeftCell="A43">
      <selection activeCell="A2" sqref="A2:C2"/>
    </sheetView>
  </sheetViews>
  <sheetFormatPr defaultColWidth="8.8515625" defaultRowHeight="12.75"/>
  <cols>
    <col min="1" max="1" width="32.140625" style="0" customWidth="1"/>
    <col min="2" max="2" width="16.140625" style="0" bestFit="1" customWidth="1"/>
    <col min="3" max="3" width="10.28125" style="7" customWidth="1"/>
    <col min="4" max="4" width="16.7109375" style="0" customWidth="1"/>
    <col min="5" max="5" width="13.28125" style="0" customWidth="1"/>
    <col min="6" max="6" width="10.00390625" style="0" customWidth="1"/>
    <col min="7" max="7" width="11.28125" style="0" customWidth="1"/>
    <col min="8" max="8" width="10.421875" style="7" bestFit="1" customWidth="1"/>
    <col min="9" max="9" width="13.421875" style="0" customWidth="1"/>
    <col min="10" max="10" width="10.421875" style="7" customWidth="1"/>
    <col min="11" max="11" width="10.140625" style="0" bestFit="1" customWidth="1"/>
  </cols>
  <sheetData>
    <row r="1" spans="1:17" s="1" customFormat="1" ht="33" customHeight="1">
      <c r="A1" s="2"/>
      <c r="C1" s="6"/>
      <c r="E1" s="6"/>
      <c r="F1" s="6"/>
      <c r="G1" s="203"/>
      <c r="H1" s="142"/>
      <c r="I1" s="142"/>
      <c r="J1" s="142"/>
      <c r="K1" s="142"/>
      <c r="L1" s="8"/>
      <c r="M1" s="6"/>
      <c r="N1" s="6"/>
      <c r="O1" s="6"/>
      <c r="P1" s="6"/>
      <c r="Q1" s="6"/>
    </row>
    <row r="2" spans="1:19" ht="27" customHeight="1">
      <c r="A2" s="159" t="s">
        <v>290</v>
      </c>
      <c r="B2" s="160"/>
      <c r="C2" s="160"/>
      <c r="D2" s="53"/>
      <c r="E2" s="53"/>
      <c r="F2" s="53"/>
      <c r="G2" s="23"/>
      <c r="H2" s="78"/>
      <c r="I2" s="193" t="s">
        <v>280</v>
      </c>
      <c r="J2" s="193"/>
      <c r="K2" s="193"/>
      <c r="L2" s="30"/>
      <c r="M2" s="13"/>
      <c r="N2" s="31"/>
      <c r="O2" s="30"/>
      <c r="P2" s="30"/>
      <c r="Q2" s="30"/>
      <c r="R2" s="30"/>
      <c r="S2" s="30"/>
    </row>
    <row r="3" spans="1:19" ht="27" customHeight="1">
      <c r="A3" s="161" t="s">
        <v>8</v>
      </c>
      <c r="B3" s="160"/>
      <c r="C3" s="53"/>
      <c r="D3" s="53"/>
      <c r="E3" s="53"/>
      <c r="F3" s="53"/>
      <c r="G3" s="23"/>
      <c r="H3" s="25"/>
      <c r="I3" s="30"/>
      <c r="J3" s="30"/>
      <c r="K3" s="30"/>
      <c r="L3" s="30"/>
      <c r="M3" s="13"/>
      <c r="N3" s="31"/>
      <c r="O3" s="30"/>
      <c r="P3" s="30"/>
      <c r="Q3" s="30"/>
      <c r="R3" s="30"/>
      <c r="S3" s="30"/>
    </row>
    <row r="4" spans="1:17" s="1" customFormat="1" ht="4.5" customHeight="1">
      <c r="A4" s="182"/>
      <c r="B4" s="154"/>
      <c r="C4" s="154"/>
      <c r="D4" s="154"/>
      <c r="E4" s="154"/>
      <c r="F4" s="154"/>
      <c r="G4" s="154"/>
      <c r="H4" s="154"/>
      <c r="I4" s="154"/>
      <c r="J4" s="154"/>
      <c r="K4" s="154"/>
      <c r="L4" s="8"/>
      <c r="M4" s="6"/>
      <c r="N4" s="6"/>
      <c r="O4" s="6"/>
      <c r="P4" s="6"/>
      <c r="Q4" s="6"/>
    </row>
    <row r="5" spans="1:11" ht="15" customHeight="1">
      <c r="A5" s="176"/>
      <c r="B5" s="176"/>
      <c r="C5" s="176"/>
      <c r="D5" s="176"/>
      <c r="E5" s="176"/>
      <c r="F5" s="176"/>
      <c r="G5" s="176"/>
      <c r="H5" s="176"/>
      <c r="I5" s="176"/>
      <c r="J5" s="176"/>
      <c r="K5" s="176"/>
    </row>
    <row r="6" spans="1:11" ht="22.5" customHeight="1">
      <c r="A6" s="83" t="s">
        <v>10</v>
      </c>
      <c r="B6" s="108" t="s">
        <v>11</v>
      </c>
      <c r="C6" s="190" t="s">
        <v>9</v>
      </c>
      <c r="D6" s="191"/>
      <c r="E6" s="191"/>
      <c r="F6" s="191"/>
      <c r="G6" s="191"/>
      <c r="H6" s="192"/>
      <c r="I6" s="191"/>
      <c r="J6" s="192"/>
      <c r="K6" s="191"/>
    </row>
    <row r="7" ht="12.75"/>
    <row r="8" spans="1:11" ht="14.25">
      <c r="A8" s="92" t="s">
        <v>215</v>
      </c>
      <c r="B8" s="24">
        <f>(365-104-22-20-8)*6</f>
        <v>1266</v>
      </c>
      <c r="C8" s="184" t="s">
        <v>118</v>
      </c>
      <c r="D8" s="185"/>
      <c r="E8" s="185"/>
      <c r="F8" s="185"/>
      <c r="G8" s="185"/>
      <c r="H8" s="185"/>
      <c r="I8" s="185"/>
      <c r="J8" s="185"/>
      <c r="K8" s="185"/>
    </row>
    <row r="9" spans="1:11" ht="14.25">
      <c r="A9" s="92" t="s">
        <v>30</v>
      </c>
      <c r="B9" s="24">
        <v>72</v>
      </c>
      <c r="C9" s="184" t="s">
        <v>33</v>
      </c>
      <c r="D9" s="185"/>
      <c r="E9" s="185"/>
      <c r="F9" s="185"/>
      <c r="G9" s="185"/>
      <c r="H9" s="185"/>
      <c r="I9" s="185"/>
      <c r="J9" s="185"/>
      <c r="K9" s="185"/>
    </row>
    <row r="10" spans="1:11" ht="14.25">
      <c r="A10" s="92" t="s">
        <v>31</v>
      </c>
      <c r="B10" s="24">
        <v>72</v>
      </c>
      <c r="C10" s="184"/>
      <c r="D10" s="185"/>
      <c r="E10" s="185"/>
      <c r="F10" s="185"/>
      <c r="G10" s="185"/>
      <c r="H10" s="185"/>
      <c r="I10" s="185"/>
      <c r="J10" s="185"/>
      <c r="K10" s="185"/>
    </row>
    <row r="11" spans="1:13" ht="14.25">
      <c r="A11" s="92" t="s">
        <v>137</v>
      </c>
      <c r="B11" s="93">
        <v>0.12</v>
      </c>
      <c r="C11" s="184" t="s">
        <v>281</v>
      </c>
      <c r="D11" s="185"/>
      <c r="E11" s="185"/>
      <c r="F11" s="185"/>
      <c r="G11" s="185"/>
      <c r="H11" s="185"/>
      <c r="I11" s="185"/>
      <c r="J11" s="185"/>
      <c r="K11" s="185"/>
      <c r="L11" s="7"/>
      <c r="M11" s="7"/>
    </row>
    <row r="12" spans="1:13" ht="14.25">
      <c r="A12" s="92" t="s">
        <v>138</v>
      </c>
      <c r="B12" s="9">
        <f>197100+121764+287328+287328</f>
        <v>893520</v>
      </c>
      <c r="C12" s="185" t="s">
        <v>5</v>
      </c>
      <c r="D12" s="185"/>
      <c r="E12" s="185"/>
      <c r="F12" s="185"/>
      <c r="G12" s="185"/>
      <c r="H12" s="185"/>
      <c r="I12" s="185"/>
      <c r="J12" s="185"/>
      <c r="K12" s="185"/>
      <c r="L12" s="7"/>
      <c r="M12" s="7"/>
    </row>
    <row r="13" spans="1:11" ht="15" customHeight="1">
      <c r="A13" s="142"/>
      <c r="B13" s="142"/>
      <c r="C13" s="142"/>
      <c r="D13" s="142"/>
      <c r="E13" s="142"/>
      <c r="F13" s="142"/>
      <c r="G13" s="142"/>
      <c r="H13" s="142"/>
      <c r="I13" s="142"/>
      <c r="J13" s="142"/>
      <c r="K13" s="142"/>
    </row>
    <row r="14" spans="1:17" s="1" customFormat="1" ht="4.5" customHeight="1">
      <c r="A14" s="182"/>
      <c r="B14" s="154"/>
      <c r="C14" s="154"/>
      <c r="D14" s="154"/>
      <c r="E14" s="154"/>
      <c r="F14" s="154"/>
      <c r="G14" s="154"/>
      <c r="H14" s="154"/>
      <c r="I14" s="154"/>
      <c r="J14" s="154"/>
      <c r="K14" s="154"/>
      <c r="L14" s="8"/>
      <c r="M14" s="6"/>
      <c r="N14" s="6"/>
      <c r="O14" s="6"/>
      <c r="P14" s="6"/>
      <c r="Q14" s="6"/>
    </row>
    <row r="15" spans="1:13" ht="30.75" customHeight="1">
      <c r="A15" s="161" t="s">
        <v>23</v>
      </c>
      <c r="B15" s="161"/>
      <c r="C15" s="161"/>
      <c r="D15" s="142"/>
      <c r="E15" s="7"/>
      <c r="F15" s="7"/>
      <c r="I15" s="13"/>
      <c r="K15" s="7"/>
      <c r="L15" s="7"/>
      <c r="M15" s="7"/>
    </row>
    <row r="16" spans="1:11" ht="18.75" customHeight="1">
      <c r="A16" s="186" t="s">
        <v>111</v>
      </c>
      <c r="B16" s="141"/>
      <c r="C16" s="187"/>
      <c r="D16" s="141"/>
      <c r="E16" s="141"/>
      <c r="F16" s="141"/>
      <c r="G16" s="141"/>
      <c r="H16" s="187"/>
      <c r="I16" s="141"/>
      <c r="J16" s="187"/>
      <c r="K16" s="141"/>
    </row>
    <row r="17" spans="1:11" ht="9.75" customHeight="1">
      <c r="A17" s="163"/>
      <c r="B17" s="163"/>
      <c r="C17" s="163"/>
      <c r="D17" s="163"/>
      <c r="E17" s="163"/>
      <c r="F17" s="163"/>
      <c r="G17" s="163"/>
      <c r="H17" s="163"/>
      <c r="I17" s="163"/>
      <c r="J17" s="163"/>
      <c r="K17" s="163"/>
    </row>
    <row r="18" spans="1:10" s="17" customFormat="1" ht="42.75" customHeight="1">
      <c r="A18" s="73" t="s">
        <v>162</v>
      </c>
      <c r="B18" s="110" t="s">
        <v>238</v>
      </c>
      <c r="C18" s="74" t="s">
        <v>206</v>
      </c>
      <c r="D18" s="110" t="s">
        <v>212</v>
      </c>
      <c r="E18" s="73" t="s">
        <v>213</v>
      </c>
      <c r="F18" s="112" t="s">
        <v>207</v>
      </c>
      <c r="G18" s="73" t="s">
        <v>121</v>
      </c>
      <c r="H18" s="110" t="s">
        <v>122</v>
      </c>
      <c r="I18" s="73" t="s">
        <v>164</v>
      </c>
      <c r="J18" s="111" t="s">
        <v>120</v>
      </c>
    </row>
    <row r="19" spans="6:8" ht="12.75">
      <c r="F19" s="7"/>
      <c r="H19"/>
    </row>
    <row r="20" spans="1:10" ht="15">
      <c r="A20" s="33" t="s">
        <v>217</v>
      </c>
      <c r="B20" s="33" t="s">
        <v>278</v>
      </c>
      <c r="C20" s="36">
        <f>23714+3177+307000+80000+4548+3435</f>
        <v>421874</v>
      </c>
      <c r="D20" s="33">
        <v>1.6</v>
      </c>
      <c r="E20" s="33"/>
      <c r="F20" s="36">
        <f>((D20*adj_work_hours)+E20)*'Table 3 - Average Hourly Rates '!C33</f>
        <v>149670.9057554898</v>
      </c>
      <c r="G20" s="36">
        <f>C20+F20</f>
        <v>571544.9057554898</v>
      </c>
      <c r="H20" s="33">
        <v>1.25</v>
      </c>
      <c r="I20" s="33"/>
      <c r="J20" s="54">
        <f>G20+(((H20*adj_work_hours)+I20)*'Table 3 - Average Hourly Rates '!C33)</f>
        <v>688475.3008769662</v>
      </c>
    </row>
    <row r="21" spans="1:10" ht="15">
      <c r="A21" s="4"/>
      <c r="B21" s="4"/>
      <c r="C21" s="5"/>
      <c r="D21" s="4"/>
      <c r="E21" s="4"/>
      <c r="F21" s="5"/>
      <c r="G21" s="5"/>
      <c r="H21" s="4"/>
      <c r="I21" s="4"/>
      <c r="J21" s="55"/>
    </row>
    <row r="22" spans="1:10" ht="15">
      <c r="A22" s="33" t="s">
        <v>279</v>
      </c>
      <c r="B22" s="33" t="s">
        <v>166</v>
      </c>
      <c r="C22" s="36">
        <f>1620+500+594+2062+3151+39548+9500+80000</f>
        <v>136975</v>
      </c>
      <c r="D22" s="33">
        <v>2.6</v>
      </c>
      <c r="E22" s="33"/>
      <c r="F22" s="36">
        <f>((D22*adj_work_hours)+E22)*'Table 3 - Average Hourly Rates '!C31</f>
        <v>158211.95899709387</v>
      </c>
      <c r="G22" s="36">
        <f>C22+F22</f>
        <v>295186.95899709384</v>
      </c>
      <c r="H22" s="33">
        <v>2.2</v>
      </c>
      <c r="I22" s="33"/>
      <c r="J22" s="54">
        <f>G22+(((H22*adj_work_hours)+I22)*'Table 3 - Average Hourly Rates '!C31)</f>
        <v>429058.61661001947</v>
      </c>
    </row>
    <row r="23" spans="1:10" ht="15">
      <c r="A23" s="4"/>
      <c r="B23" s="4" t="s">
        <v>210</v>
      </c>
      <c r="C23" s="56">
        <f>3078+2257+282+1293+2771+40793+106</f>
        <v>50580</v>
      </c>
      <c r="D23" s="4">
        <v>1.7</v>
      </c>
      <c r="E23" s="4"/>
      <c r="F23" s="5">
        <f>((D23*adj_work_hours)+E23)*'Table 3 - Average Hourly Rates '!C34</f>
        <v>131073.62501819385</v>
      </c>
      <c r="G23" s="5">
        <f>C23+F23</f>
        <v>181653.62501819385</v>
      </c>
      <c r="H23" s="4">
        <v>1.3</v>
      </c>
      <c r="I23" s="4"/>
      <c r="J23" s="55">
        <f>G23+(((H23*adj_work_hours)+I23)*'Table 3 - Average Hourly Rates '!C34)</f>
        <v>281886.3970909303</v>
      </c>
    </row>
    <row r="24" spans="1:10" ht="15">
      <c r="A24" s="4"/>
      <c r="B24" s="33" t="s">
        <v>235</v>
      </c>
      <c r="C24" s="36">
        <f>B11*B12</f>
        <v>107222.4</v>
      </c>
      <c r="D24" s="33"/>
      <c r="E24" s="33"/>
      <c r="F24" s="36"/>
      <c r="G24" s="36"/>
      <c r="H24" s="33"/>
      <c r="I24" s="33"/>
      <c r="J24" s="54">
        <f>C24</f>
        <v>107222.4</v>
      </c>
    </row>
    <row r="25" spans="1:10" ht="15" thickBot="1">
      <c r="A25" s="4"/>
      <c r="B25" s="4"/>
      <c r="C25" s="5"/>
      <c r="D25" s="4"/>
      <c r="E25" s="4"/>
      <c r="F25" s="201"/>
      <c r="G25" s="195"/>
      <c r="H25" s="195"/>
      <c r="I25" s="195"/>
      <c r="J25" s="195"/>
    </row>
    <row r="26" spans="1:10" ht="16.5" thickBot="1" thickTop="1">
      <c r="A26" s="4"/>
      <c r="B26" s="4"/>
      <c r="C26" s="5"/>
      <c r="D26" s="4"/>
      <c r="E26" s="4"/>
      <c r="F26" s="188" t="s">
        <v>117</v>
      </c>
      <c r="G26" s="189"/>
      <c r="H26" s="189"/>
      <c r="I26" s="189"/>
      <c r="J26" s="57">
        <f>SUM(J19:J25)</f>
        <v>1506642.7145779158</v>
      </c>
    </row>
    <row r="27" spans="1:11" ht="15" thickTop="1">
      <c r="A27" s="197"/>
      <c r="B27" s="142"/>
      <c r="C27" s="142"/>
      <c r="D27" s="142"/>
      <c r="E27" s="142"/>
      <c r="F27" s="142"/>
      <c r="G27" s="142"/>
      <c r="H27" s="142"/>
      <c r="I27" s="142"/>
      <c r="J27" s="142"/>
      <c r="K27" s="142"/>
    </row>
    <row r="28" spans="1:17" s="1" customFormat="1" ht="4.5" customHeight="1">
      <c r="A28" s="182"/>
      <c r="B28" s="154"/>
      <c r="C28" s="154"/>
      <c r="D28" s="154"/>
      <c r="E28" s="154"/>
      <c r="F28" s="154"/>
      <c r="G28" s="154"/>
      <c r="H28" s="154"/>
      <c r="I28" s="154"/>
      <c r="J28" s="154"/>
      <c r="K28" s="154"/>
      <c r="L28" s="8"/>
      <c r="M28" s="6"/>
      <c r="N28" s="6"/>
      <c r="O28" s="6"/>
      <c r="P28" s="6"/>
      <c r="Q28" s="6"/>
    </row>
    <row r="29" spans="1:13" ht="30.75" customHeight="1">
      <c r="A29" s="161" t="s">
        <v>114</v>
      </c>
      <c r="B29" s="161"/>
      <c r="C29" s="161"/>
      <c r="D29" s="7"/>
      <c r="E29" s="7"/>
      <c r="F29" s="7"/>
      <c r="I29" s="13"/>
      <c r="K29" s="7"/>
      <c r="L29" s="7"/>
      <c r="M29" s="7"/>
    </row>
    <row r="30" spans="1:11" ht="18" customHeight="1">
      <c r="A30" s="186" t="s">
        <v>112</v>
      </c>
      <c r="B30" s="141"/>
      <c r="C30" s="187"/>
      <c r="D30" s="141"/>
      <c r="E30" s="141"/>
      <c r="F30" s="141"/>
      <c r="G30" s="141"/>
      <c r="H30" s="187"/>
      <c r="I30" s="141"/>
      <c r="J30" s="187"/>
      <c r="K30" s="141"/>
    </row>
    <row r="31" spans="1:11" ht="9.75" customHeight="1">
      <c r="A31" s="163"/>
      <c r="B31" s="163"/>
      <c r="C31" s="163"/>
      <c r="D31" s="163"/>
      <c r="E31" s="163"/>
      <c r="F31" s="163"/>
      <c r="G31" s="163"/>
      <c r="H31" s="163"/>
      <c r="I31" s="163"/>
      <c r="J31" s="163"/>
      <c r="K31" s="163"/>
    </row>
    <row r="32" spans="1:11" s="17" customFormat="1" ht="45" customHeight="1">
      <c r="A32" s="73" t="s">
        <v>162</v>
      </c>
      <c r="B32" s="110" t="s">
        <v>238</v>
      </c>
      <c r="C32" s="74" t="s">
        <v>206</v>
      </c>
      <c r="D32" s="110" t="s">
        <v>212</v>
      </c>
      <c r="E32" s="73" t="s">
        <v>213</v>
      </c>
      <c r="F32" s="112" t="s">
        <v>207</v>
      </c>
      <c r="G32" s="73" t="s">
        <v>121</v>
      </c>
      <c r="H32" s="110" t="s">
        <v>122</v>
      </c>
      <c r="I32" s="73" t="s">
        <v>164</v>
      </c>
      <c r="J32" s="199" t="s">
        <v>120</v>
      </c>
      <c r="K32" s="129"/>
    </row>
    <row r="33" spans="3:10" ht="9.75" customHeight="1">
      <c r="C33"/>
      <c r="H33"/>
      <c r="J33"/>
    </row>
    <row r="34" spans="1:11" ht="15">
      <c r="A34" s="32" t="s">
        <v>216</v>
      </c>
      <c r="B34" s="32" t="s">
        <v>211</v>
      </c>
      <c r="C34" s="58">
        <f>(3838+12043+1830+101008)*1.02</f>
        <v>121093.38</v>
      </c>
      <c r="D34" s="32">
        <f>0.05+0.1+0.025+0.3+0.1+0.1+0.05</f>
        <v>0.725</v>
      </c>
      <c r="E34" s="32"/>
      <c r="F34" s="58">
        <f>((D34*adj_work_hours)+E34)*'Table 3 - Average Hourly Rates '!C29</f>
        <v>84511.18015518358</v>
      </c>
      <c r="G34" s="58">
        <f>C34+F34</f>
        <v>205604.5601551836</v>
      </c>
      <c r="H34" s="32">
        <f>0.2+0.1+0.1</f>
        <v>0.4</v>
      </c>
      <c r="I34" s="32"/>
      <c r="J34" s="200">
        <f>G34+(((H34*adj_work_hours)+I34)*'Table 3 - Average Hourly Rates '!C29)</f>
        <v>252231.41817183662</v>
      </c>
      <c r="K34" s="142"/>
    </row>
    <row r="35" spans="1:11" ht="19.5" customHeight="1">
      <c r="A35" s="114"/>
      <c r="B35" s="114"/>
      <c r="C35" s="114"/>
      <c r="D35" s="114"/>
      <c r="E35" s="114"/>
      <c r="F35" s="114"/>
      <c r="G35" s="114"/>
      <c r="H35" s="114"/>
      <c r="I35" s="114"/>
      <c r="J35" s="114"/>
      <c r="K35" s="114"/>
    </row>
    <row r="36" spans="1:6" s="17" customFormat="1" ht="44.25" customHeight="1">
      <c r="A36" s="73" t="s">
        <v>228</v>
      </c>
      <c r="B36" s="110" t="s">
        <v>282</v>
      </c>
      <c r="C36" s="73" t="s">
        <v>230</v>
      </c>
      <c r="D36" s="110" t="s">
        <v>220</v>
      </c>
      <c r="E36" s="73" t="s">
        <v>221</v>
      </c>
      <c r="F36" s="109" t="s">
        <v>113</v>
      </c>
    </row>
    <row r="37" spans="1:6" ht="14.25">
      <c r="A37" s="183"/>
      <c r="B37" s="142"/>
      <c r="C37" s="142"/>
      <c r="D37" s="142"/>
      <c r="E37" s="142"/>
      <c r="F37" s="142"/>
    </row>
    <row r="38" spans="1:6" ht="14.25">
      <c r="A38" s="32" t="s">
        <v>227</v>
      </c>
      <c r="B38" s="32">
        <v>2</v>
      </c>
      <c r="C38" s="58">
        <v>124</v>
      </c>
      <c r="D38" s="58">
        <f>B38*C38</f>
        <v>248</v>
      </c>
      <c r="E38" s="62">
        <f>D38/D46</f>
        <v>0.0021361079768128927</v>
      </c>
      <c r="F38" s="58">
        <f>E38*J34</f>
        <v>538.7935443596886</v>
      </c>
    </row>
    <row r="39" spans="1:6" ht="14.25">
      <c r="A39" s="21" t="s">
        <v>209</v>
      </c>
      <c r="B39" s="21">
        <v>6</v>
      </c>
      <c r="C39" s="22">
        <v>14641</v>
      </c>
      <c r="D39" s="22">
        <f aca="true" t="shared" si="0" ref="D39:D44">B39*C39</f>
        <v>87846</v>
      </c>
      <c r="E39" s="59">
        <f>D39/D46</f>
        <v>0.7566473440770377</v>
      </c>
      <c r="F39" s="22">
        <f>E39*J34</f>
        <v>190850.23265250484</v>
      </c>
    </row>
    <row r="40" spans="1:6" ht="14.25">
      <c r="A40" s="32" t="s">
        <v>224</v>
      </c>
      <c r="B40" s="32">
        <v>2</v>
      </c>
      <c r="C40" s="58">
        <v>8538</v>
      </c>
      <c r="D40" s="58">
        <f t="shared" si="0"/>
        <v>17076</v>
      </c>
      <c r="E40" s="62">
        <f>D40/D46</f>
        <v>0.14708137020990705</v>
      </c>
      <c r="F40" s="58">
        <f>E40*J34</f>
        <v>37098.54259470178</v>
      </c>
    </row>
    <row r="41" spans="1:6" ht="14.25">
      <c r="A41" s="21" t="s">
        <v>223</v>
      </c>
      <c r="B41" s="21">
        <v>2</v>
      </c>
      <c r="C41" s="22">
        <v>2092</v>
      </c>
      <c r="D41" s="22">
        <f t="shared" si="0"/>
        <v>4184</v>
      </c>
      <c r="E41" s="59">
        <f>D41/D46</f>
        <v>0.03603820877010138</v>
      </c>
      <c r="F41" s="22">
        <f>E41*J34</f>
        <v>9089.96850645539</v>
      </c>
    </row>
    <row r="42" spans="1:6" ht="14.25">
      <c r="A42" s="32" t="s">
        <v>226</v>
      </c>
      <c r="B42" s="32">
        <v>3</v>
      </c>
      <c r="C42" s="58">
        <v>1121</v>
      </c>
      <c r="D42" s="58">
        <f t="shared" si="0"/>
        <v>3363</v>
      </c>
      <c r="E42" s="62">
        <f>D42/D46</f>
        <v>0.028966657766216763</v>
      </c>
      <c r="F42" s="58">
        <f>E42*J34</f>
        <v>7306.301168071099</v>
      </c>
    </row>
    <row r="43" spans="1:6" ht="14.25">
      <c r="A43" s="21" t="s">
        <v>222</v>
      </c>
      <c r="B43" s="21">
        <v>2</v>
      </c>
      <c r="C43" s="22">
        <v>1453</v>
      </c>
      <c r="D43" s="22">
        <f t="shared" si="0"/>
        <v>2906</v>
      </c>
      <c r="E43" s="59">
        <f>D43/D46</f>
        <v>0.02503036201862204</v>
      </c>
      <c r="F43" s="22">
        <f>E43*J34</f>
        <v>6313.443709311512</v>
      </c>
    </row>
    <row r="44" spans="1:6" ht="14.25">
      <c r="A44" s="32" t="s">
        <v>225</v>
      </c>
      <c r="B44" s="32">
        <v>2</v>
      </c>
      <c r="C44" s="58">
        <v>238</v>
      </c>
      <c r="D44" s="58">
        <f t="shared" si="0"/>
        <v>476</v>
      </c>
      <c r="E44" s="62">
        <f>D44/D46</f>
        <v>0.0040999491813021646</v>
      </c>
      <c r="F44" s="58">
        <f>E44*J34</f>
        <v>1034.1359964323055</v>
      </c>
    </row>
    <row r="45" spans="1:6" ht="15" thickBot="1">
      <c r="A45" s="194"/>
      <c r="B45" s="195"/>
      <c r="C45" s="195"/>
      <c r="D45" s="195"/>
      <c r="E45" s="195"/>
      <c r="F45" s="195"/>
    </row>
    <row r="46" spans="1:6" ht="16.5" thickBot="1" thickTop="1">
      <c r="A46" s="60" t="s">
        <v>116</v>
      </c>
      <c r="B46" s="49">
        <f>SUM(B38:B45)</f>
        <v>19</v>
      </c>
      <c r="C46" s="57">
        <f>SUM(C38:C45)</f>
        <v>28207</v>
      </c>
      <c r="D46" s="57">
        <f>SUM(D38:D45)</f>
        <v>116099</v>
      </c>
      <c r="E46" s="61"/>
      <c r="F46" s="61"/>
    </row>
    <row r="47" spans="1:6" ht="13.5" thickTop="1">
      <c r="A47" s="196"/>
      <c r="B47" s="179"/>
      <c r="C47" s="179"/>
      <c r="D47" s="179"/>
      <c r="E47" s="179"/>
      <c r="F47" s="179"/>
    </row>
    <row r="48" spans="1:17" ht="6.75" customHeight="1">
      <c r="A48" s="198"/>
      <c r="B48" s="198"/>
      <c r="C48" s="198"/>
      <c r="D48" s="198"/>
      <c r="E48" s="198"/>
      <c r="F48" s="198"/>
      <c r="G48" s="198"/>
      <c r="H48" s="198"/>
      <c r="I48" s="198"/>
      <c r="J48" s="198"/>
      <c r="K48" s="198"/>
      <c r="L48" s="8"/>
      <c r="M48" s="6"/>
      <c r="N48" s="6"/>
      <c r="O48" s="6"/>
      <c r="P48" s="6"/>
      <c r="Q48" s="6"/>
    </row>
    <row r="49" spans="1:10" ht="28.5" customHeight="1">
      <c r="A49" s="161" t="s">
        <v>22</v>
      </c>
      <c r="B49" s="160"/>
      <c r="C49" s="160"/>
      <c r="H49"/>
      <c r="J49"/>
    </row>
    <row r="50" spans="1:11" ht="16.5" customHeight="1">
      <c r="A50" s="186" t="s">
        <v>21</v>
      </c>
      <c r="B50" s="141"/>
      <c r="C50" s="141"/>
      <c r="D50" s="141"/>
      <c r="E50" s="141"/>
      <c r="F50" s="141"/>
      <c r="G50" s="141"/>
      <c r="H50" s="141"/>
      <c r="I50" s="141"/>
      <c r="J50" s="141"/>
      <c r="K50" s="141"/>
    </row>
    <row r="51" spans="1:11" ht="13.5" customHeight="1">
      <c r="A51" s="142"/>
      <c r="B51" s="142"/>
      <c r="C51" s="142"/>
      <c r="D51" s="142"/>
      <c r="E51" s="142"/>
      <c r="F51" s="142"/>
      <c r="G51" s="142"/>
      <c r="H51" s="142"/>
      <c r="I51" s="142"/>
      <c r="J51" s="142"/>
      <c r="K51" s="142"/>
    </row>
    <row r="52" spans="1:11" s="17" customFormat="1" ht="49.5" customHeight="1">
      <c r="A52" s="73" t="s">
        <v>162</v>
      </c>
      <c r="B52" s="110" t="s">
        <v>238</v>
      </c>
      <c r="C52" s="74" t="s">
        <v>206</v>
      </c>
      <c r="D52" s="110" t="s">
        <v>212</v>
      </c>
      <c r="E52" s="73" t="s">
        <v>213</v>
      </c>
      <c r="F52" s="112" t="s">
        <v>207</v>
      </c>
      <c r="G52" s="73" t="s">
        <v>205</v>
      </c>
      <c r="H52" s="112" t="s">
        <v>121</v>
      </c>
      <c r="I52" s="73" t="s">
        <v>122</v>
      </c>
      <c r="J52" s="110" t="s">
        <v>164</v>
      </c>
      <c r="K52" s="73" t="s">
        <v>120</v>
      </c>
    </row>
    <row r="53" spans="1:11" ht="9.75" customHeight="1">
      <c r="A53" s="142"/>
      <c r="B53" s="142"/>
      <c r="C53" s="142"/>
      <c r="D53" s="142"/>
      <c r="E53" s="142"/>
      <c r="F53" s="142"/>
      <c r="G53" s="142"/>
      <c r="H53" s="142"/>
      <c r="I53" s="142"/>
      <c r="J53" s="142"/>
      <c r="K53" s="142"/>
    </row>
    <row r="54" spans="1:11" ht="15">
      <c r="A54" s="33" t="s">
        <v>227</v>
      </c>
      <c r="B54" s="33" t="s">
        <v>211</v>
      </c>
      <c r="C54" s="36">
        <v>9402</v>
      </c>
      <c r="D54" s="33">
        <v>0.05</v>
      </c>
      <c r="E54" s="33"/>
      <c r="F54" s="36">
        <f>((D54*adj_work_hours)+E54)*'Table 3 - Average Hourly Rates '!C29</f>
        <v>5828.357252081627</v>
      </c>
      <c r="G54" s="36">
        <f>F38</f>
        <v>538.7935443596886</v>
      </c>
      <c r="H54" s="36">
        <f>C54+F54+G54</f>
        <v>15769.150796441316</v>
      </c>
      <c r="I54" s="33">
        <v>0.05</v>
      </c>
      <c r="J54" s="33"/>
      <c r="K54" s="54">
        <f>H54+(((I54*adj_work_hours)+J54)*'Table 3 - Average Hourly Rates '!C29)</f>
        <v>21597.50804852294</v>
      </c>
    </row>
    <row r="55" spans="1:11" ht="9.75" customHeight="1">
      <c r="A55" s="4"/>
      <c r="B55" s="4"/>
      <c r="C55" s="5"/>
      <c r="D55" s="4"/>
      <c r="E55" s="4"/>
      <c r="F55" s="5"/>
      <c r="G55" s="4"/>
      <c r="H55" s="5"/>
      <c r="I55" s="4"/>
      <c r="J55" s="4"/>
      <c r="K55" s="55"/>
    </row>
    <row r="56" spans="1:11" ht="15">
      <c r="A56" s="33" t="s">
        <v>209</v>
      </c>
      <c r="B56" s="33" t="s">
        <v>163</v>
      </c>
      <c r="C56" s="36">
        <f>47364+5278+24820+285</f>
        <v>77747</v>
      </c>
      <c r="D56" s="33">
        <v>3.95</v>
      </c>
      <c r="E56" s="33"/>
      <c r="F56" s="36">
        <f>((D56*adj_work_hours)+E56)*'Table 3 - Average Hourly Rates '!C27</f>
        <v>383157.6120712152</v>
      </c>
      <c r="G56" s="33"/>
      <c r="H56" s="36">
        <f>C56+F56+G56</f>
        <v>460904.6120712152</v>
      </c>
      <c r="I56" s="33">
        <v>5.15</v>
      </c>
      <c r="J56" s="33"/>
      <c r="K56" s="54">
        <f>H56+(((I56*adj_work_hours)+J56)*'Table 3 - Average Hourly Rates '!C27)</f>
        <v>960464.5366703945</v>
      </c>
    </row>
    <row r="57" spans="1:11" ht="15">
      <c r="A57" s="4"/>
      <c r="B57" s="4" t="s">
        <v>210</v>
      </c>
      <c r="C57" s="5"/>
      <c r="D57" s="4">
        <v>0.1</v>
      </c>
      <c r="E57" s="4"/>
      <c r="F57" s="5">
        <f>((D57*adj_work_hours)+E57)*'Table 3 - Average Hourly Rates '!C28</f>
        <v>10511.914044110317</v>
      </c>
      <c r="G57" s="4"/>
      <c r="H57" s="5">
        <f>C57+F57+G57</f>
        <v>10511.914044110317</v>
      </c>
      <c r="I57" s="4">
        <v>1.2</v>
      </c>
      <c r="J57" s="4"/>
      <c r="K57" s="55">
        <f>H57+(((I57*adj_work_hours)+J57)*'Table 3 - Average Hourly Rates '!C28)</f>
        <v>136654.88257343412</v>
      </c>
    </row>
    <row r="58" spans="1:11" ht="15">
      <c r="A58" s="4"/>
      <c r="B58" s="33" t="s">
        <v>211</v>
      </c>
      <c r="C58" s="36"/>
      <c r="D58" s="33">
        <v>1.7</v>
      </c>
      <c r="E58" s="33"/>
      <c r="F58" s="36">
        <f>((D58*adj_work_hours)+E58)*'Table 3 - Average Hourly Rates '!C29</f>
        <v>198164.14657077528</v>
      </c>
      <c r="G58" s="36">
        <f>F39</f>
        <v>190850.23265250484</v>
      </c>
      <c r="H58" s="36">
        <f>C58+F58+G58</f>
        <v>389014.3792232801</v>
      </c>
      <c r="I58" s="33">
        <v>1.6</v>
      </c>
      <c r="J58" s="33"/>
      <c r="K58" s="54">
        <f>H58+(((I58*adj_work_hours)+J58)*'Table 3 - Average Hourly Rates '!C29)</f>
        <v>575521.8112898922</v>
      </c>
    </row>
    <row r="59" spans="1:11" ht="15">
      <c r="A59" s="4"/>
      <c r="B59" s="4" t="s">
        <v>214</v>
      </c>
      <c r="C59" s="113">
        <f>4286+9392+8000+5147</f>
        <v>26825</v>
      </c>
      <c r="D59" s="4">
        <v>2.85</v>
      </c>
      <c r="E59" s="4"/>
      <c r="F59" s="5">
        <f>((D59*adj_work_hours)+E59)*CIM_avg_rate</f>
        <v>259783.19999999998</v>
      </c>
      <c r="G59" s="4"/>
      <c r="H59" s="5">
        <f>C59+F59+G59</f>
        <v>286608.19999999995</v>
      </c>
      <c r="I59" s="4">
        <v>0.15</v>
      </c>
      <c r="J59" s="4"/>
      <c r="K59" s="55">
        <f>H59+(((I59*adj_work_hours)+J59)*CIM_avg_rate)</f>
        <v>300280.99999999994</v>
      </c>
    </row>
    <row r="60" spans="1:11" ht="15">
      <c r="A60" s="4"/>
      <c r="B60" s="33" t="s">
        <v>124</v>
      </c>
      <c r="C60" s="36"/>
      <c r="D60" s="33">
        <v>0.1</v>
      </c>
      <c r="E60" s="33"/>
      <c r="F60" s="36">
        <f>((D60*adj_work_hours)+E60)*Finance_avg_rate</f>
        <v>9115.2</v>
      </c>
      <c r="G60" s="33"/>
      <c r="H60" s="36">
        <f>C60+F60+G60</f>
        <v>9115.2</v>
      </c>
      <c r="I60" s="33"/>
      <c r="J60" s="33"/>
      <c r="K60" s="54">
        <f>H60+(((I60*adj_work_hours)+J60)*Finance_avg_rate)</f>
        <v>9115.2</v>
      </c>
    </row>
    <row r="61" spans="1:11" ht="15" thickBot="1">
      <c r="A61" s="197"/>
      <c r="B61" s="142"/>
      <c r="C61" s="142"/>
      <c r="D61" s="142"/>
      <c r="E61" s="142"/>
      <c r="F61" s="142"/>
      <c r="G61" s="142"/>
      <c r="H61" s="142"/>
      <c r="I61" s="142"/>
      <c r="J61" s="142"/>
      <c r="K61" s="142"/>
    </row>
    <row r="62" spans="1:11" ht="16.5" thickBot="1" thickTop="1">
      <c r="A62" s="75" t="s">
        <v>116</v>
      </c>
      <c r="B62" s="76"/>
      <c r="C62" s="77">
        <f>SUM(C56:C59)</f>
        <v>104572</v>
      </c>
      <c r="D62" s="76">
        <f>SUM(D56:D60)</f>
        <v>8.7</v>
      </c>
      <c r="E62" s="76"/>
      <c r="F62" s="77">
        <f>SUM(F56:F59)</f>
        <v>851616.8726861008</v>
      </c>
      <c r="G62" s="77"/>
      <c r="H62" s="77">
        <f>SUM(H56:H59)</f>
        <v>1147039.1053386056</v>
      </c>
      <c r="I62" s="76">
        <f>SUM(I56:I59)</f>
        <v>8.100000000000001</v>
      </c>
      <c r="J62" s="76"/>
      <c r="K62" s="57">
        <f>SUM(K56:K60)</f>
        <v>1982037.4305337209</v>
      </c>
    </row>
    <row r="63" spans="1:11" ht="15" customHeight="1" thickTop="1">
      <c r="A63" s="197"/>
      <c r="B63" s="142"/>
      <c r="C63" s="142"/>
      <c r="D63" s="142"/>
      <c r="E63" s="142"/>
      <c r="F63" s="142"/>
      <c r="G63" s="142"/>
      <c r="H63" s="142"/>
      <c r="I63" s="142"/>
      <c r="J63" s="142"/>
      <c r="K63" s="142"/>
    </row>
    <row r="64" spans="1:11" ht="15">
      <c r="A64" s="33" t="s">
        <v>167</v>
      </c>
      <c r="B64" s="33" t="s">
        <v>125</v>
      </c>
      <c r="C64" s="36">
        <v>19979</v>
      </c>
      <c r="D64" s="33">
        <v>0.325</v>
      </c>
      <c r="E64" s="33"/>
      <c r="F64" s="36">
        <f>((0.025*adj_work_hours)*'Table 3 - Average Hourly Rates '!C29)+(0.3*adj_work_hours*Finance_avg_rate)</f>
        <v>30259.778626040817</v>
      </c>
      <c r="G64" s="36">
        <f>F41</f>
        <v>9089.96850645539</v>
      </c>
      <c r="H64" s="36">
        <f>C64+F64+G64</f>
        <v>59328.74713249621</v>
      </c>
      <c r="I64" s="33">
        <v>0.5</v>
      </c>
      <c r="J64" s="33"/>
      <c r="K64" s="54">
        <f>H64+(((0.1*adj_work_hours)*'Table 3 - Average Hourly Rates '!C29)+(0.4*adj_work_hours*Finance_avg_rate))</f>
        <v>107446.26163665947</v>
      </c>
    </row>
    <row r="65" spans="1:11" ht="9.75" customHeight="1">
      <c r="A65" s="4"/>
      <c r="B65" s="4"/>
      <c r="C65" s="5"/>
      <c r="D65" s="4"/>
      <c r="E65" s="4"/>
      <c r="F65" s="5"/>
      <c r="G65" s="4"/>
      <c r="H65" s="5"/>
      <c r="I65" s="4"/>
      <c r="J65" s="4"/>
      <c r="K65" s="55"/>
    </row>
    <row r="66" spans="1:11" ht="15">
      <c r="A66" s="33" t="s">
        <v>132</v>
      </c>
      <c r="B66" s="33" t="s">
        <v>125</v>
      </c>
      <c r="C66" s="36">
        <v>20596</v>
      </c>
      <c r="D66" s="33">
        <v>1.025</v>
      </c>
      <c r="E66" s="33"/>
      <c r="F66" s="36">
        <f>((0.05*'Table 2 - Staff Costing Profile'!T48)+(0.025*'Table 2 - Staff Costing Profile'!T62)+(0.05*'Table 2 - Staff Costing Profile'!T61)+(0.9*Finance_avg_rate))*adj_work_hours</f>
        <v>95390.89194487777</v>
      </c>
      <c r="G66" s="36">
        <f>F40</f>
        <v>37098.54259470178</v>
      </c>
      <c r="H66" s="36">
        <f>C66+F66+G66</f>
        <v>153085.43453957955</v>
      </c>
      <c r="I66" s="33">
        <v>0.45</v>
      </c>
      <c r="J66" s="33"/>
      <c r="K66" s="54">
        <f>H66+(((0.05*'Table 2 - Staff Costing Profile'!T62)+(0.4*Finance_avg_rate))*adj_work_hours)</f>
        <v>194810.8395790393</v>
      </c>
    </row>
    <row r="67" spans="1:11" ht="9.75" customHeight="1">
      <c r="A67" s="4"/>
      <c r="B67" s="4"/>
      <c r="C67" s="5"/>
      <c r="D67" s="4"/>
      <c r="E67" s="4"/>
      <c r="F67" s="5"/>
      <c r="G67" s="4"/>
      <c r="H67" s="5"/>
      <c r="I67" s="4"/>
      <c r="J67" s="4"/>
      <c r="K67" s="55"/>
    </row>
    <row r="68" spans="1:11" ht="15">
      <c r="A68" s="33" t="s">
        <v>115</v>
      </c>
      <c r="B68" s="33" t="s">
        <v>124</v>
      </c>
      <c r="C68" s="36"/>
      <c r="D68" s="33"/>
      <c r="E68" s="33"/>
      <c r="F68" s="36"/>
      <c r="G68" s="33"/>
      <c r="H68" s="36"/>
      <c r="I68" s="33">
        <v>0.3</v>
      </c>
      <c r="J68" s="33"/>
      <c r="K68" s="54">
        <f>H68+(I68*adj_work_hours*Finance_avg_rate)</f>
        <v>27345.600000000002</v>
      </c>
    </row>
    <row r="69" spans="1:11" ht="9.75" customHeight="1">
      <c r="A69" s="4"/>
      <c r="B69" s="4"/>
      <c r="C69" s="5"/>
      <c r="D69" s="4"/>
      <c r="E69" s="4"/>
      <c r="F69" s="5"/>
      <c r="G69" s="4"/>
      <c r="H69" s="5"/>
      <c r="I69" s="4"/>
      <c r="J69" s="4"/>
      <c r="K69" s="55"/>
    </row>
    <row r="70" spans="1:11" ht="15">
      <c r="A70" s="33" t="s">
        <v>171</v>
      </c>
      <c r="B70" s="33" t="s">
        <v>247</v>
      </c>
      <c r="C70" s="36">
        <f>577+83+82</f>
        <v>742</v>
      </c>
      <c r="D70" s="33">
        <v>7</v>
      </c>
      <c r="E70" s="33"/>
      <c r="F70" s="36">
        <f>(SUM('Table 2 - Staff Costing Profile'!T21:T25)+(0.5*'Table 2 - Staff Costing Profile'!T27)+(0.5*'Table 2 - Staff Costing Profile'!T19))*adj_work_hours</f>
        <v>392548.8710733045</v>
      </c>
      <c r="G70" s="33"/>
      <c r="H70" s="36">
        <f>C70+F70+G70</f>
        <v>393290.8710733045</v>
      </c>
      <c r="I70" s="33"/>
      <c r="J70" s="33"/>
      <c r="K70" s="54">
        <f>H70+(((I70*adj_work_hours)+J70)*'Table 3 - Average Hourly Rates '!D71)</f>
        <v>393290.8710733045</v>
      </c>
    </row>
    <row r="71" spans="1:11" ht="9.75" customHeight="1">
      <c r="A71" s="4"/>
      <c r="B71" s="4"/>
      <c r="C71" s="5"/>
      <c r="D71" s="4"/>
      <c r="E71" s="4"/>
      <c r="F71" s="5"/>
      <c r="G71" s="4"/>
      <c r="H71" s="5"/>
      <c r="I71" s="4"/>
      <c r="J71" s="4"/>
      <c r="K71" s="55"/>
    </row>
    <row r="72" spans="1:11" ht="15">
      <c r="A72" s="33" t="s">
        <v>165</v>
      </c>
      <c r="B72" s="33" t="s">
        <v>166</v>
      </c>
      <c r="C72" s="36">
        <f>3748+5985+1094+4162</f>
        <v>14989</v>
      </c>
      <c r="D72" s="33">
        <v>0.75</v>
      </c>
      <c r="E72" s="33"/>
      <c r="F72" s="36">
        <f>((D72*adj_work_hours)+E72)*'Table 3 - Average Hourly Rates '!C31</f>
        <v>45638.06509531554</v>
      </c>
      <c r="G72" s="33"/>
      <c r="H72" s="36">
        <f>C72+F72+G72</f>
        <v>60627.06509531554</v>
      </c>
      <c r="I72" s="33">
        <v>0.3</v>
      </c>
      <c r="J72" s="33"/>
      <c r="K72" s="54">
        <f>H72+(((I72*adj_work_hours)+J72)*'Table 3 - Average Hourly Rates '!C31)</f>
        <v>78882.29113344176</v>
      </c>
    </row>
    <row r="73" spans="1:11" ht="9.75" customHeight="1">
      <c r="A73" s="4"/>
      <c r="B73" s="4"/>
      <c r="C73" s="5"/>
      <c r="D73" s="4"/>
      <c r="E73" s="4"/>
      <c r="F73" s="5"/>
      <c r="G73" s="4"/>
      <c r="H73" s="5"/>
      <c r="I73" s="4"/>
      <c r="J73" s="4"/>
      <c r="K73" s="55"/>
    </row>
    <row r="74" spans="1:11" ht="15">
      <c r="A74" s="33" t="s">
        <v>226</v>
      </c>
      <c r="B74" s="33" t="s">
        <v>276</v>
      </c>
      <c r="C74" s="36">
        <f>24828+7628</f>
        <v>32456</v>
      </c>
      <c r="D74" s="33">
        <v>0.4</v>
      </c>
      <c r="E74" s="33"/>
      <c r="F74" s="36">
        <f>((D74*adj_work_hours)+E74)*'Table 3 - Average Hourly Rates '!C32</f>
        <v>31962.809614974933</v>
      </c>
      <c r="G74" s="36">
        <f>F42</f>
        <v>7306.301168071099</v>
      </c>
      <c r="H74" s="36">
        <f>C74+F74+G74</f>
        <v>71725.11078304602</v>
      </c>
      <c r="I74" s="33">
        <v>0.175</v>
      </c>
      <c r="J74" s="33"/>
      <c r="K74" s="54">
        <f>H74+(((I74*adj_work_hours)+J74)*'Table 3 - Average Hourly Rates '!C29)</f>
        <v>92124.36116533172</v>
      </c>
    </row>
    <row r="75" spans="1:11" ht="9.75" customHeight="1">
      <c r="A75" s="4"/>
      <c r="B75" s="4"/>
      <c r="C75" s="5"/>
      <c r="D75" s="4"/>
      <c r="E75" s="4"/>
      <c r="F75" s="5"/>
      <c r="G75" s="4"/>
      <c r="H75" s="5"/>
      <c r="I75" s="4"/>
      <c r="J75" s="4"/>
      <c r="K75" s="55"/>
    </row>
    <row r="76" spans="1:11" ht="15">
      <c r="A76" s="33" t="s">
        <v>169</v>
      </c>
      <c r="B76" s="33" t="s">
        <v>168</v>
      </c>
      <c r="C76" s="36">
        <v>48413</v>
      </c>
      <c r="D76" s="33">
        <v>0.35</v>
      </c>
      <c r="E76" s="33"/>
      <c r="F76" s="36">
        <f>(((0.05*adj_work_hours)+E76)*'Table 3 - Average Hourly Rates '!C29)+(0.3*adj_work_hours*Finance_avg_rate)</f>
        <v>33173.95725208163</v>
      </c>
      <c r="G76" s="36">
        <f>F43</f>
        <v>6313.443709311512</v>
      </c>
      <c r="H76" s="36">
        <f>C76+F76+G76</f>
        <v>87900.40096139314</v>
      </c>
      <c r="I76" s="33">
        <v>0.9</v>
      </c>
      <c r="J76" s="33"/>
      <c r="K76" s="54">
        <f>(H76+(((I76*adj_work_hours))*'Table 3 - Average Hourly Rates '!C29))+(I76*adj_work_hours*Finance_avg_rate)</f>
        <v>274847.6314988624</v>
      </c>
    </row>
    <row r="77" spans="1:11" ht="9.75" customHeight="1">
      <c r="A77" s="4"/>
      <c r="B77" s="4"/>
      <c r="C77" s="5"/>
      <c r="D77" s="4"/>
      <c r="E77" s="4"/>
      <c r="F77" s="5"/>
      <c r="G77" s="5"/>
      <c r="H77" s="5"/>
      <c r="I77" s="4"/>
      <c r="J77" s="4"/>
      <c r="K77" s="55"/>
    </row>
    <row r="78" spans="1:11" ht="15">
      <c r="A78" s="33" t="s">
        <v>130</v>
      </c>
      <c r="B78" s="33" t="s">
        <v>214</v>
      </c>
      <c r="C78" s="36">
        <f>10500+21407+5000</f>
        <v>36907</v>
      </c>
      <c r="D78" s="33">
        <v>1.75</v>
      </c>
      <c r="E78" s="33"/>
      <c r="F78" s="36">
        <f>((D78)*CIM_avg_rate)*adj_work_hours</f>
        <v>159516</v>
      </c>
      <c r="G78" s="36"/>
      <c r="H78" s="36">
        <f>C78+F78+G78</f>
        <v>196423</v>
      </c>
      <c r="I78" s="33"/>
      <c r="J78" s="33"/>
      <c r="K78" s="54">
        <f>(H78+(((I78*adj_work_hours))*'Table 3 - Average Hourly Rates '!C31))+(I78*adj_work_hours*Finance_avg_rate)</f>
        <v>196423</v>
      </c>
    </row>
    <row r="79" spans="1:11" ht="15">
      <c r="A79" s="4"/>
      <c r="B79" s="4" t="s">
        <v>131</v>
      </c>
      <c r="C79" s="56">
        <v>8262</v>
      </c>
      <c r="D79" s="4"/>
      <c r="E79" s="4"/>
      <c r="F79" s="5"/>
      <c r="G79" s="5"/>
      <c r="H79" s="5">
        <f>C79+F79+G79</f>
        <v>8262</v>
      </c>
      <c r="I79" s="4"/>
      <c r="J79" s="4"/>
      <c r="K79" s="55">
        <f>(H79+(((I79*adj_work_hours))*'Table 3 - Average Hourly Rates '!C32))+(I79*adj_work_hours*Finance_avg_rate)</f>
        <v>8262</v>
      </c>
    </row>
    <row r="80" spans="1:11" ht="9.75" customHeight="1">
      <c r="A80" s="4"/>
      <c r="B80" s="4"/>
      <c r="C80" s="5"/>
      <c r="D80" s="4"/>
      <c r="E80" s="4"/>
      <c r="F80" s="5"/>
      <c r="G80" s="5"/>
      <c r="H80" s="5"/>
      <c r="I80" s="4"/>
      <c r="J80" s="4"/>
      <c r="K80" s="55"/>
    </row>
    <row r="81" spans="1:11" ht="15">
      <c r="A81" s="33" t="s">
        <v>268</v>
      </c>
      <c r="B81" s="33" t="s">
        <v>123</v>
      </c>
      <c r="C81" s="36">
        <v>60000</v>
      </c>
      <c r="D81" s="33">
        <v>1.1</v>
      </c>
      <c r="E81" s="33"/>
      <c r="F81" s="36">
        <f>((D81)*'Table 3 - Average Hourly Rates '!C34)*adj_work_hours</f>
        <v>84812.3456000078</v>
      </c>
      <c r="G81" s="36"/>
      <c r="H81" s="36">
        <f>C81+F81+G81</f>
        <v>144812.3456000078</v>
      </c>
      <c r="I81" s="33">
        <v>2.55</v>
      </c>
      <c r="J81" s="33"/>
      <c r="K81" s="54">
        <f>H81+(((I81*adj_work_hours)+J81)*'Table 3 - Average Hourly Rates '!C34)</f>
        <v>341422.7831272986</v>
      </c>
    </row>
    <row r="82" spans="1:11" ht="9.75" customHeight="1">
      <c r="A82" s="4"/>
      <c r="B82" s="4"/>
      <c r="C82" s="5"/>
      <c r="D82" s="4"/>
      <c r="E82" s="4"/>
      <c r="F82" s="5"/>
      <c r="G82" s="5"/>
      <c r="H82" s="5"/>
      <c r="I82" s="4"/>
      <c r="J82" s="4"/>
      <c r="K82" s="55"/>
    </row>
    <row r="83" spans="1:11" ht="15">
      <c r="A83" s="33" t="s">
        <v>119</v>
      </c>
      <c r="B83" s="33" t="s">
        <v>210</v>
      </c>
      <c r="C83" s="36"/>
      <c r="D83" s="33">
        <v>0.4</v>
      </c>
      <c r="E83" s="33"/>
      <c r="F83" s="36">
        <f>((D83)*'Table 3 - Average Hourly Rates '!C34)*adj_work_hours</f>
        <v>30840.852945457384</v>
      </c>
      <c r="G83" s="36"/>
      <c r="H83" s="36">
        <f>C83+F83+G83</f>
        <v>30840.852945457384</v>
      </c>
      <c r="I83" s="33">
        <v>0.9</v>
      </c>
      <c r="J83" s="33"/>
      <c r="K83" s="54">
        <f>H83+(((I83*adj_work_hours)+J83)*'Table 3 - Average Hourly Rates '!C34)</f>
        <v>100232.7720727365</v>
      </c>
    </row>
    <row r="84" spans="1:11" ht="9.75" customHeight="1">
      <c r="A84" s="4"/>
      <c r="B84" s="4"/>
      <c r="C84" s="5"/>
      <c r="D84" s="4"/>
      <c r="E84" s="4"/>
      <c r="F84" s="5"/>
      <c r="G84" s="5"/>
      <c r="H84" s="5"/>
      <c r="I84" s="4"/>
      <c r="J84" s="4"/>
      <c r="K84" s="55"/>
    </row>
    <row r="85" spans="1:11" ht="15">
      <c r="A85" s="33" t="s">
        <v>219</v>
      </c>
      <c r="B85" s="33" t="s">
        <v>229</v>
      </c>
      <c r="C85" s="36">
        <f>500+8237+245+286+28054+41002+591+573+235+1269+3215+516+261+427000</f>
        <v>511984</v>
      </c>
      <c r="D85" s="33">
        <v>3.65</v>
      </c>
      <c r="E85" s="33"/>
      <c r="F85" s="36">
        <f>((D85*adj_work_hours)+E85)*'Table 3 - Average Hourly Rates '!C32</f>
        <v>291660.6377366462</v>
      </c>
      <c r="G85" s="33"/>
      <c r="H85" s="36">
        <f>C85+F85+G85</f>
        <v>803644.6377366462</v>
      </c>
      <c r="I85" s="33">
        <v>1.2</v>
      </c>
      <c r="J85" s="33"/>
      <c r="K85" s="54">
        <f>H85+(((I85*adj_work_hours)+J85)*'Table 3 - Average Hourly Rates '!C32)</f>
        <v>899533.066581571</v>
      </c>
    </row>
    <row r="86" spans="1:11" ht="9.75" customHeight="1">
      <c r="A86" s="4"/>
      <c r="B86" s="4"/>
      <c r="C86" s="5"/>
      <c r="D86" s="4"/>
      <c r="E86" s="4"/>
      <c r="F86" s="5"/>
      <c r="G86" s="4"/>
      <c r="H86" s="5"/>
      <c r="I86" s="4"/>
      <c r="J86" s="4"/>
      <c r="K86" s="55"/>
    </row>
    <row r="87" spans="1:11" ht="15">
      <c r="A87" s="33" t="s">
        <v>170</v>
      </c>
      <c r="B87" s="33" t="s">
        <v>218</v>
      </c>
      <c r="C87" s="36">
        <f>300+2569+42416+17423+319000+4000</f>
        <v>385708</v>
      </c>
      <c r="D87" s="33">
        <v>1</v>
      </c>
      <c r="E87" s="33"/>
      <c r="F87" s="36">
        <f>((D87*adj_work_hours)+E87)*'Table 3 - Average Hourly Rates '!C33</f>
        <v>93544.31609718113</v>
      </c>
      <c r="G87" s="33"/>
      <c r="H87" s="36">
        <f>C87+F87+G87</f>
        <v>479252.3160971811</v>
      </c>
      <c r="I87" s="33">
        <v>0.8</v>
      </c>
      <c r="J87" s="33"/>
      <c r="K87" s="54">
        <f>H87+(((I87*adj_work_hours)+J87)*'Table 3 - Average Hourly Rates '!C33)</f>
        <v>554087.768974926</v>
      </c>
    </row>
    <row r="88" spans="1:11" ht="9.75" customHeight="1">
      <c r="A88" s="4"/>
      <c r="B88" s="4"/>
      <c r="C88" s="5"/>
      <c r="D88" s="4"/>
      <c r="E88" s="4"/>
      <c r="F88" s="5"/>
      <c r="G88" s="4"/>
      <c r="H88" s="5"/>
      <c r="I88" s="4"/>
      <c r="J88" s="4"/>
      <c r="K88" s="55"/>
    </row>
    <row r="89" spans="1:11" ht="12" customHeight="1">
      <c r="A89" s="33" t="s">
        <v>225</v>
      </c>
      <c r="B89" s="33" t="s">
        <v>126</v>
      </c>
      <c r="C89" s="36"/>
      <c r="D89" s="33">
        <v>0.1</v>
      </c>
      <c r="E89" s="33"/>
      <c r="F89" s="36">
        <f>(D89*adj_work_hours*Finance_avg_rate)</f>
        <v>9115.2</v>
      </c>
      <c r="G89" s="36">
        <f>F44</f>
        <v>1034.1359964323055</v>
      </c>
      <c r="H89" s="36">
        <f>C89+F89+G89</f>
        <v>10149.335996432306</v>
      </c>
      <c r="I89" s="33">
        <v>0.3</v>
      </c>
      <c r="J89" s="33"/>
      <c r="K89" s="54">
        <f>H89+(((0.1*adj_work_hours)*'Table 3 - Average Hourly Rates '!C29)+(0.2*Finance_avg_rate*adj_work_hours))</f>
        <v>40036.45050059556</v>
      </c>
    </row>
    <row r="90" spans="1:11" ht="9.75" customHeight="1">
      <c r="A90" s="4"/>
      <c r="B90" s="4"/>
      <c r="C90" s="5"/>
      <c r="D90" s="4"/>
      <c r="E90" s="4"/>
      <c r="F90" s="5"/>
      <c r="G90" s="5"/>
      <c r="H90" s="5"/>
      <c r="I90" s="4"/>
      <c r="J90" s="4"/>
      <c r="K90" s="55"/>
    </row>
    <row r="91" spans="1:11" ht="15">
      <c r="A91" s="33" t="s">
        <v>133</v>
      </c>
      <c r="B91" s="33" t="s">
        <v>134</v>
      </c>
      <c r="C91" s="36">
        <f>5871+1619+5155+815</f>
        <v>13460</v>
      </c>
      <c r="D91" s="33">
        <v>1</v>
      </c>
      <c r="E91" s="33"/>
      <c r="F91" s="36">
        <f>(D91*adj_work_hours*Finance_avg_rate)</f>
        <v>91152</v>
      </c>
      <c r="G91" s="36"/>
      <c r="H91" s="36">
        <f>C91+F91+G91</f>
        <v>104612</v>
      </c>
      <c r="I91" s="33"/>
      <c r="J91" s="33"/>
      <c r="K91" s="54">
        <f>H91+(((I91*adj_work_hours)+J91)*'Table 3 - Average Hourly Rates '!C32)</f>
        <v>104612</v>
      </c>
    </row>
    <row r="92" spans="1:11" ht="9.75" customHeight="1">
      <c r="A92" s="4"/>
      <c r="B92" s="4"/>
      <c r="C92" s="5"/>
      <c r="D92" s="4"/>
      <c r="E92" s="4"/>
      <c r="F92" s="5"/>
      <c r="G92" s="5"/>
      <c r="H92" s="5"/>
      <c r="I92" s="4"/>
      <c r="J92" s="4"/>
      <c r="K92" s="55"/>
    </row>
    <row r="93" spans="1:11" ht="15">
      <c r="A93" s="33" t="s">
        <v>135</v>
      </c>
      <c r="B93" s="33" t="s">
        <v>136</v>
      </c>
      <c r="C93" s="36">
        <v>0</v>
      </c>
      <c r="D93" s="33">
        <v>1.6</v>
      </c>
      <c r="E93" s="33"/>
      <c r="F93" s="36">
        <f>(0.6*adj_work_hours*'Table 2 - Staff Costing Profile'!T16)+(adj_work_hours*'Table 3 - Average Hourly Rates '!C12)</f>
        <v>130336.66171986348</v>
      </c>
      <c r="G93" s="36"/>
      <c r="H93" s="36">
        <f>C93+F93+G93</f>
        <v>130336.66171986348</v>
      </c>
      <c r="I93" s="33"/>
      <c r="J93" s="33"/>
      <c r="K93" s="54">
        <f>H93+(((I93*adj_work_hours)+J93)*'Table 3 - Average Hourly Rates '!C32)</f>
        <v>130336.66171986348</v>
      </c>
    </row>
    <row r="94" spans="1:11" ht="12.75" customHeight="1" thickBot="1">
      <c r="A94" s="4"/>
      <c r="B94" s="4"/>
      <c r="C94" s="5"/>
      <c r="D94" s="4"/>
      <c r="E94" s="4"/>
      <c r="F94" s="4"/>
      <c r="G94" s="4"/>
      <c r="H94" s="5"/>
      <c r="I94" s="201"/>
      <c r="J94" s="195"/>
      <c r="K94" s="195"/>
    </row>
    <row r="95" spans="1:11" ht="16.5" thickBot="1" thickTop="1">
      <c r="A95" s="4"/>
      <c r="B95" s="4"/>
      <c r="C95" s="5"/>
      <c r="D95" s="4"/>
      <c r="E95" s="4"/>
      <c r="F95" s="4"/>
      <c r="G95" s="4"/>
      <c r="H95" s="5"/>
      <c r="I95" s="188" t="s">
        <v>277</v>
      </c>
      <c r="J95" s="202"/>
      <c r="K95" s="57">
        <f>SUM(K54,SUM(K62:K93))</f>
        <v>5547329.297645875</v>
      </c>
    </row>
    <row r="96" spans="1:11" ht="13.5" thickTop="1">
      <c r="A96" s="142"/>
      <c r="B96" s="142"/>
      <c r="C96" s="142"/>
      <c r="D96" s="142"/>
      <c r="E96" s="142"/>
      <c r="F96" s="142"/>
      <c r="G96" s="142"/>
      <c r="H96" s="142"/>
      <c r="I96" s="142"/>
      <c r="J96" s="142"/>
      <c r="K96" s="142"/>
    </row>
    <row r="97" spans="1:17" ht="6.75" customHeight="1">
      <c r="A97" s="198"/>
      <c r="B97" s="198"/>
      <c r="C97" s="198"/>
      <c r="D97" s="198"/>
      <c r="E97" s="198"/>
      <c r="F97" s="198"/>
      <c r="G97" s="198"/>
      <c r="H97" s="198"/>
      <c r="I97" s="198"/>
      <c r="J97" s="198"/>
      <c r="K97" s="198"/>
      <c r="L97" s="8"/>
      <c r="M97" s="6"/>
      <c r="N97" s="6"/>
      <c r="O97" s="6"/>
      <c r="P97" s="6"/>
      <c r="Q97" s="6"/>
    </row>
  </sheetData>
  <sheetProtection/>
  <mergeCells count="40">
    <mergeCell ref="A2:C2"/>
    <mergeCell ref="G1:K1"/>
    <mergeCell ref="C12:K12"/>
    <mergeCell ref="C11:K11"/>
    <mergeCell ref="C10:K10"/>
    <mergeCell ref="A15:D15"/>
    <mergeCell ref="A14:K14"/>
    <mergeCell ref="A13:K13"/>
    <mergeCell ref="A3:B3"/>
    <mergeCell ref="A5:K5"/>
    <mergeCell ref="A51:K51"/>
    <mergeCell ref="F25:J25"/>
    <mergeCell ref="A97:K97"/>
    <mergeCell ref="I95:J95"/>
    <mergeCell ref="I94:K94"/>
    <mergeCell ref="A96:K96"/>
    <mergeCell ref="A61:K61"/>
    <mergeCell ref="A63:K63"/>
    <mergeCell ref="A30:K30"/>
    <mergeCell ref="A31:K31"/>
    <mergeCell ref="I2:K2"/>
    <mergeCell ref="A45:F45"/>
    <mergeCell ref="A47:F47"/>
    <mergeCell ref="A27:K27"/>
    <mergeCell ref="A49:C49"/>
    <mergeCell ref="A50:K50"/>
    <mergeCell ref="A48:K48"/>
    <mergeCell ref="J32:K32"/>
    <mergeCell ref="J34:K34"/>
    <mergeCell ref="A29:C29"/>
    <mergeCell ref="A28:K28"/>
    <mergeCell ref="A53:K53"/>
    <mergeCell ref="A37:F37"/>
    <mergeCell ref="C8:K8"/>
    <mergeCell ref="C9:K9"/>
    <mergeCell ref="A4:K4"/>
    <mergeCell ref="A16:K16"/>
    <mergeCell ref="A17:K17"/>
    <mergeCell ref="F26:I26"/>
    <mergeCell ref="C6:K6"/>
  </mergeCells>
  <printOptions horizontalCentered="1"/>
  <pageMargins left="0.39" right="0.39" top="0.39" bottom="0.39" header="0" footer="0"/>
  <pageSetup cellComments="asDisplayed" fitToHeight="1" fitToWidth="1" horizontalDpi="600" verticalDpi="600" orientation="portrait" paperSize="5" scale="60" r:id="rId4"/>
  <headerFooter alignWithMargins="0">
    <oddFooter>&amp;CPage &amp;P of &amp;N</oddFooter>
  </headerFooter>
  <rowBreaks count="1" manualBreakCount="1">
    <brk id="51" max="10" man="1"/>
  </rowBreaks>
  <drawing r:id="rId3"/>
  <legacyDrawing r:id="rId2"/>
</worksheet>
</file>

<file path=xl/worksheets/sheet5.xml><?xml version="1.0" encoding="utf-8"?>
<worksheet xmlns="http://schemas.openxmlformats.org/spreadsheetml/2006/main" xmlns:r="http://schemas.openxmlformats.org/officeDocument/2006/relationships">
  <dimension ref="A1:R26"/>
  <sheetViews>
    <sheetView tabSelected="1" zoomScalePageLayoutView="0" workbookViewId="0" topLeftCell="A10">
      <selection activeCell="A9" sqref="A9:L9"/>
    </sheetView>
  </sheetViews>
  <sheetFormatPr defaultColWidth="8.8515625" defaultRowHeight="12.75"/>
  <cols>
    <col min="1" max="1" width="58.140625" style="0" customWidth="1"/>
    <col min="2" max="9" width="8.8515625" style="0" hidden="1" customWidth="1"/>
    <col min="10" max="11" width="8.8515625" style="0" customWidth="1"/>
    <col min="12" max="12" width="9.28125" style="0" customWidth="1"/>
    <col min="13" max="14" width="8.8515625" style="0" hidden="1" customWidth="1"/>
  </cols>
  <sheetData>
    <row r="1" spans="10:14" ht="42" customHeight="1">
      <c r="J1" s="142"/>
      <c r="K1" s="142"/>
      <c r="L1" s="142"/>
      <c r="M1" s="142"/>
      <c r="N1" s="142"/>
    </row>
    <row r="2" spans="1:18" s="1" customFormat="1" ht="18.75" customHeight="1">
      <c r="A2" s="119" t="s">
        <v>290</v>
      </c>
      <c r="C2" s="6"/>
      <c r="E2" s="6"/>
      <c r="F2" s="6"/>
      <c r="G2" s="6"/>
      <c r="H2" s="6"/>
      <c r="I2" s="6"/>
      <c r="J2" s="193" t="s">
        <v>280</v>
      </c>
      <c r="K2" s="193"/>
      <c r="L2" s="193"/>
      <c r="M2" s="193"/>
      <c r="N2" s="193"/>
      <c r="O2" s="6"/>
      <c r="P2" s="6"/>
      <c r="Q2" s="6"/>
      <c r="R2" s="6"/>
    </row>
    <row r="3" spans="1:18" s="1" customFormat="1" ht="20.25">
      <c r="A3" s="94" t="s">
        <v>7</v>
      </c>
      <c r="C3" s="6"/>
      <c r="E3" s="6"/>
      <c r="F3" s="6"/>
      <c r="G3" s="6"/>
      <c r="H3" s="6"/>
      <c r="I3" s="6"/>
      <c r="J3" s="6"/>
      <c r="L3" s="6"/>
      <c r="M3" s="8"/>
      <c r="N3" s="6"/>
      <c r="O3" s="6"/>
      <c r="P3" s="6"/>
      <c r="Q3" s="6"/>
      <c r="R3" s="6"/>
    </row>
    <row r="4" spans="1:18" s="1" customFormat="1" ht="12" customHeight="1">
      <c r="A4" s="151"/>
      <c r="B4" s="142"/>
      <c r="C4" s="142"/>
      <c r="D4" s="142"/>
      <c r="E4" s="142"/>
      <c r="F4" s="142"/>
      <c r="G4" s="142"/>
      <c r="H4" s="142"/>
      <c r="I4" s="142"/>
      <c r="J4" s="142"/>
      <c r="K4" s="142"/>
      <c r="L4" s="142"/>
      <c r="M4" s="8"/>
      <c r="N4" s="6"/>
      <c r="O4" s="6"/>
      <c r="P4" s="6"/>
      <c r="Q4" s="6"/>
      <c r="R4" s="6"/>
    </row>
    <row r="5" spans="1:12" ht="9" customHeight="1">
      <c r="A5" s="213"/>
      <c r="B5" s="142"/>
      <c r="C5" s="142"/>
      <c r="D5" s="142"/>
      <c r="E5" s="142"/>
      <c r="F5" s="142"/>
      <c r="G5" s="142"/>
      <c r="H5" s="142"/>
      <c r="I5" s="142"/>
      <c r="J5" s="142"/>
      <c r="K5" s="142"/>
      <c r="L5" s="142"/>
    </row>
    <row r="6" spans="1:12" ht="21.75" customHeight="1">
      <c r="A6" s="214" t="s">
        <v>4</v>
      </c>
      <c r="B6" s="215"/>
      <c r="C6" s="215"/>
      <c r="D6" s="215"/>
      <c r="E6" s="215"/>
      <c r="F6" s="215"/>
      <c r="G6" s="215"/>
      <c r="H6" s="215"/>
      <c r="I6" s="215"/>
      <c r="J6" s="142"/>
      <c r="K6" s="142"/>
      <c r="L6" s="142"/>
    </row>
    <row r="7" spans="1:18" s="1" customFormat="1" ht="20.25">
      <c r="A7" s="216"/>
      <c r="B7" s="142"/>
      <c r="C7" s="142"/>
      <c r="D7" s="142"/>
      <c r="E7" s="142"/>
      <c r="F7" s="142"/>
      <c r="G7" s="142"/>
      <c r="H7" s="142"/>
      <c r="I7" s="142"/>
      <c r="J7" s="142"/>
      <c r="K7" s="142"/>
      <c r="L7" s="142"/>
      <c r="M7" s="8"/>
      <c r="N7" s="6"/>
      <c r="O7" s="6"/>
      <c r="P7" s="6"/>
      <c r="Q7" s="6"/>
      <c r="R7" s="6"/>
    </row>
    <row r="8" spans="1:12" s="18" customFormat="1" ht="128.25" customHeight="1">
      <c r="A8" s="207" t="s">
        <v>295</v>
      </c>
      <c r="B8" s="208"/>
      <c r="C8" s="208"/>
      <c r="D8" s="208"/>
      <c r="E8" s="208"/>
      <c r="F8" s="208"/>
      <c r="G8" s="208"/>
      <c r="H8" s="208"/>
      <c r="I8" s="208"/>
      <c r="J8" s="208"/>
      <c r="K8" s="208"/>
      <c r="L8" s="208"/>
    </row>
    <row r="9" spans="1:12" s="18" customFormat="1" ht="167.25" customHeight="1">
      <c r="A9" s="204" t="s">
        <v>2</v>
      </c>
      <c r="B9" s="206"/>
      <c r="C9" s="206"/>
      <c r="D9" s="206"/>
      <c r="E9" s="206"/>
      <c r="F9" s="206"/>
      <c r="G9" s="206"/>
      <c r="H9" s="206"/>
      <c r="I9" s="206"/>
      <c r="J9" s="206"/>
      <c r="K9" s="206"/>
      <c r="L9" s="206"/>
    </row>
    <row r="10" spans="1:12" s="18" customFormat="1" ht="37.5" customHeight="1">
      <c r="A10" s="207" t="s">
        <v>283</v>
      </c>
      <c r="B10" s="208"/>
      <c r="C10" s="208"/>
      <c r="D10" s="208"/>
      <c r="E10" s="208"/>
      <c r="F10" s="208"/>
      <c r="G10" s="208"/>
      <c r="H10" s="208"/>
      <c r="I10" s="208"/>
      <c r="J10" s="208"/>
      <c r="K10" s="208"/>
      <c r="L10" s="208"/>
    </row>
    <row r="11" spans="1:12" s="19" customFormat="1" ht="77.25" customHeight="1">
      <c r="A11" s="204" t="s">
        <v>286</v>
      </c>
      <c r="B11" s="197"/>
      <c r="C11" s="197"/>
      <c r="D11" s="197"/>
      <c r="E11" s="197"/>
      <c r="F11" s="197"/>
      <c r="G11" s="197"/>
      <c r="H11" s="197"/>
      <c r="I11" s="197"/>
      <c r="J11" s="197"/>
      <c r="K11" s="197"/>
      <c r="L11" s="197"/>
    </row>
    <row r="12" spans="1:12" s="18" customFormat="1" ht="81" customHeight="1">
      <c r="A12" s="207" t="s">
        <v>285</v>
      </c>
      <c r="B12" s="208"/>
      <c r="C12" s="208"/>
      <c r="D12" s="208"/>
      <c r="E12" s="208"/>
      <c r="F12" s="208"/>
      <c r="G12" s="208"/>
      <c r="H12" s="208"/>
      <c r="I12" s="208"/>
      <c r="J12" s="208"/>
      <c r="K12" s="208"/>
      <c r="L12" s="208"/>
    </row>
    <row r="13" spans="1:12" ht="185.25" customHeight="1">
      <c r="A13" s="204" t="s">
        <v>287</v>
      </c>
      <c r="B13" s="197"/>
      <c r="C13" s="197"/>
      <c r="D13" s="197"/>
      <c r="E13" s="197"/>
      <c r="F13" s="197"/>
      <c r="G13" s="197"/>
      <c r="H13" s="197"/>
      <c r="I13" s="197"/>
      <c r="J13" s="197"/>
      <c r="K13" s="197"/>
      <c r="L13" s="197"/>
    </row>
    <row r="14" spans="1:12" ht="210" customHeight="1">
      <c r="A14" s="209" t="s">
        <v>0</v>
      </c>
      <c r="B14" s="210"/>
      <c r="C14" s="210"/>
      <c r="D14" s="210"/>
      <c r="E14" s="210"/>
      <c r="F14" s="210"/>
      <c r="G14" s="210"/>
      <c r="H14" s="210"/>
      <c r="I14" s="210"/>
      <c r="J14" s="211"/>
      <c r="K14" s="211"/>
      <c r="L14" s="211"/>
    </row>
    <row r="15" spans="1:12" ht="34.5" customHeight="1" hidden="1">
      <c r="A15" s="210"/>
      <c r="B15" s="210"/>
      <c r="C15" s="210"/>
      <c r="D15" s="210"/>
      <c r="E15" s="210"/>
      <c r="F15" s="210"/>
      <c r="G15" s="210"/>
      <c r="H15" s="210"/>
      <c r="I15" s="210"/>
      <c r="J15" s="211"/>
      <c r="K15" s="211"/>
      <c r="L15" s="211"/>
    </row>
    <row r="16" spans="1:12" ht="86.25" customHeight="1">
      <c r="A16" s="204" t="s">
        <v>3</v>
      </c>
      <c r="B16" s="205"/>
      <c r="C16" s="205"/>
      <c r="D16" s="205"/>
      <c r="E16" s="205"/>
      <c r="F16" s="205"/>
      <c r="G16" s="205"/>
      <c r="H16" s="205"/>
      <c r="I16" s="205"/>
      <c r="J16" s="197"/>
      <c r="K16" s="197"/>
      <c r="L16" s="197"/>
    </row>
    <row r="17" spans="1:12" ht="12" customHeight="1" hidden="1">
      <c r="A17" s="205"/>
      <c r="B17" s="205"/>
      <c r="C17" s="205"/>
      <c r="D17" s="205"/>
      <c r="E17" s="205"/>
      <c r="F17" s="205"/>
      <c r="G17" s="205"/>
      <c r="H17" s="205"/>
      <c r="I17" s="205"/>
      <c r="J17" s="197"/>
      <c r="K17" s="197"/>
      <c r="L17" s="197"/>
    </row>
    <row r="18" spans="1:12" ht="12" customHeight="1" hidden="1">
      <c r="A18" s="205"/>
      <c r="B18" s="205"/>
      <c r="C18" s="205"/>
      <c r="D18" s="205"/>
      <c r="E18" s="205"/>
      <c r="F18" s="205"/>
      <c r="G18" s="205"/>
      <c r="H18" s="205"/>
      <c r="I18" s="205"/>
      <c r="J18" s="197"/>
      <c r="K18" s="197"/>
      <c r="L18" s="197"/>
    </row>
    <row r="19" spans="1:12" ht="12" customHeight="1" hidden="1">
      <c r="A19" s="205"/>
      <c r="B19" s="205"/>
      <c r="C19" s="205"/>
      <c r="D19" s="205"/>
      <c r="E19" s="205"/>
      <c r="F19" s="205"/>
      <c r="G19" s="205"/>
      <c r="H19" s="205"/>
      <c r="I19" s="205"/>
      <c r="J19" s="197"/>
      <c r="K19" s="197"/>
      <c r="L19" s="197"/>
    </row>
    <row r="20" spans="1:12" ht="1.5" customHeight="1" hidden="1">
      <c r="A20" s="205"/>
      <c r="B20" s="205"/>
      <c r="C20" s="205"/>
      <c r="D20" s="205"/>
      <c r="E20" s="205"/>
      <c r="F20" s="205"/>
      <c r="G20" s="205"/>
      <c r="H20" s="205"/>
      <c r="I20" s="205"/>
      <c r="J20" s="197"/>
      <c r="K20" s="197"/>
      <c r="L20" s="197"/>
    </row>
    <row r="21" spans="1:12" ht="12" customHeight="1" hidden="1">
      <c r="A21" s="205"/>
      <c r="B21" s="205"/>
      <c r="C21" s="205"/>
      <c r="D21" s="205"/>
      <c r="E21" s="205"/>
      <c r="F21" s="205"/>
      <c r="G21" s="205"/>
      <c r="H21" s="205"/>
      <c r="I21" s="205"/>
      <c r="J21" s="197"/>
      <c r="K21" s="197"/>
      <c r="L21" s="197"/>
    </row>
    <row r="22" spans="1:12" ht="12" customHeight="1" hidden="1">
      <c r="A22" s="205"/>
      <c r="B22" s="205"/>
      <c r="C22" s="205"/>
      <c r="D22" s="205"/>
      <c r="E22" s="205"/>
      <c r="F22" s="205"/>
      <c r="G22" s="205"/>
      <c r="H22" s="205"/>
      <c r="I22" s="205"/>
      <c r="J22" s="197"/>
      <c r="K22" s="197"/>
      <c r="L22" s="197"/>
    </row>
    <row r="23" spans="1:12" ht="12" customHeight="1" hidden="1">
      <c r="A23" s="205"/>
      <c r="B23" s="205"/>
      <c r="C23" s="205"/>
      <c r="D23" s="205"/>
      <c r="E23" s="205"/>
      <c r="F23" s="205"/>
      <c r="G23" s="205"/>
      <c r="H23" s="205"/>
      <c r="I23" s="205"/>
      <c r="J23" s="197"/>
      <c r="K23" s="197"/>
      <c r="L23" s="197"/>
    </row>
    <row r="24" spans="1:12" ht="71.25" customHeight="1">
      <c r="A24" s="207" t="s">
        <v>1</v>
      </c>
      <c r="B24" s="212"/>
      <c r="C24" s="212"/>
      <c r="D24" s="212"/>
      <c r="E24" s="212"/>
      <c r="F24" s="212"/>
      <c r="G24" s="212"/>
      <c r="H24" s="212"/>
      <c r="I24" s="212"/>
      <c r="J24" s="211"/>
      <c r="K24" s="211"/>
      <c r="L24" s="211"/>
    </row>
    <row r="25" spans="1:12" ht="12.75" customHeight="1">
      <c r="A25" s="142"/>
      <c r="B25" s="142"/>
      <c r="C25" s="142"/>
      <c r="D25" s="142"/>
      <c r="E25" s="142"/>
      <c r="F25" s="142"/>
      <c r="G25" s="142"/>
      <c r="H25" s="142"/>
      <c r="I25" s="142"/>
      <c r="J25" s="142"/>
      <c r="K25" s="142"/>
      <c r="L25" s="142"/>
    </row>
    <row r="26" spans="1:12" ht="9" customHeight="1">
      <c r="A26" s="154"/>
      <c r="B26" s="154"/>
      <c r="C26" s="154"/>
      <c r="D26" s="154"/>
      <c r="E26" s="154"/>
      <c r="F26" s="154"/>
      <c r="G26" s="154"/>
      <c r="H26" s="154"/>
      <c r="I26" s="154"/>
      <c r="J26" s="154"/>
      <c r="K26" s="154"/>
      <c r="L26" s="154"/>
    </row>
  </sheetData>
  <sheetProtection/>
  <mergeCells count="17">
    <mergeCell ref="A24:L24"/>
    <mergeCell ref="A25:L25"/>
    <mergeCell ref="A26:L26"/>
    <mergeCell ref="A4:L4"/>
    <mergeCell ref="J1:N1"/>
    <mergeCell ref="J2:N2"/>
    <mergeCell ref="A5:L5"/>
    <mergeCell ref="A6:L6"/>
    <mergeCell ref="A7:L7"/>
    <mergeCell ref="A8:L8"/>
    <mergeCell ref="A16:L23"/>
    <mergeCell ref="A9:L9"/>
    <mergeCell ref="A10:L10"/>
    <mergeCell ref="A11:L11"/>
    <mergeCell ref="A12:L12"/>
    <mergeCell ref="A13:L13"/>
    <mergeCell ref="A14:L15"/>
  </mergeCells>
  <printOptions horizontalCentered="1"/>
  <pageMargins left="0.39" right="0.39" top="0.39" bottom="0.39" header="0" footer="0"/>
  <pageSetup horizontalDpi="600" verticalDpi="600" orientation="portrait"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Athabasca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c:creator>
  <cp:keywords/>
  <dc:description/>
  <cp:lastModifiedBy>Dave Hrenewich</cp:lastModifiedBy>
  <cp:lastPrinted>2009-04-08T20:21:10Z</cp:lastPrinted>
  <dcterms:created xsi:type="dcterms:W3CDTF">2005-04-07T16:50:49Z</dcterms:created>
  <dcterms:modified xsi:type="dcterms:W3CDTF">2009-06-04T21:11:01Z</dcterms:modified>
  <cp:category/>
  <cp:version/>
  <cp:contentType/>
  <cp:contentStatus/>
</cp:coreProperties>
</file>